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65401" windowWidth="17610" windowHeight="13050" activeTab="3"/>
  </bookViews>
  <sheets>
    <sheet name="SCINT" sheetId="1" r:id="rId1"/>
    <sheet name="SCI PR" sheetId="2" r:id="rId2"/>
    <sheet name="CFS" sheetId="3" r:id="rId3"/>
    <sheet name="SFPBS" sheetId="4" r:id="rId4"/>
    <sheet name="EQUITY" sheetId="5" r:id="rId5"/>
    <sheet name="RSS" sheetId="6" r:id="rId6"/>
    <sheet name="Cap Wks" sheetId="7" r:id="rId7"/>
    <sheet name="Loans" sheetId="8" r:id="rId8"/>
    <sheet name="Depreciation" sheetId="9" r:id="rId9"/>
    <sheet name="Ratios" sheetId="10" r:id="rId10"/>
    <sheet name="Reserves" sheetId="11" r:id="rId11"/>
    <sheet name="Assumptions" sheetId="12" r:id="rId12"/>
  </sheets>
  <definedNames>
    <definedName name="_xlnm.Print_Area" localSheetId="11">'Assumptions'!$B$2:$M$32</definedName>
    <definedName name="_xlnm.Print_Area" localSheetId="6">'Cap Wks'!$B$2:$N$78</definedName>
    <definedName name="_xlnm.Print_Area" localSheetId="2">'CFS'!$B$2:$M$52</definedName>
    <definedName name="_xlnm.Print_Area" localSheetId="8">'Depreciation'!$B$2:$N$69</definedName>
    <definedName name="_xlnm.Print_Area" localSheetId="4">'EQUITY'!$B$2:$M$31</definedName>
    <definedName name="_xlnm.Print_Area" localSheetId="7">'Loans'!$B$2:$M$84</definedName>
    <definedName name="_xlnm.Print_Area" localSheetId="9">'Ratios'!$B$2:$M$69</definedName>
    <definedName name="_xlnm.Print_Area" localSheetId="5">'RSS'!$B$2:$M$43</definedName>
    <definedName name="_xlnm.Print_Area" localSheetId="1">'SCI PR'!$B$2:$M$73</definedName>
    <definedName name="_xlnm.Print_Area" localSheetId="0">'SCINT'!$B$2:$M$44</definedName>
    <definedName name="_xlnm.Print_Titles" localSheetId="6">'Cap Wks'!$2:$8</definedName>
    <definedName name="_xlnm.Print_Titles" localSheetId="2">'CFS'!$2:$6</definedName>
    <definedName name="_xlnm.Print_Titles" localSheetId="8">'Depreciation'!$1:$7</definedName>
    <definedName name="_xlnm.Print_Titles" localSheetId="7">'Loans'!$1:$6</definedName>
    <definedName name="_xlnm.Print_Titles" localSheetId="9">'Ratios'!$1:$6</definedName>
    <definedName name="_xlnm.Print_Titles" localSheetId="10">'Reserves'!$1:$5</definedName>
    <definedName name="_xlnm.Print_Titles" localSheetId="5">'RSS'!$2:$6</definedName>
    <definedName name="_xlnm.Print_Titles" localSheetId="1">'SCI PR'!$2:$6</definedName>
    <definedName name="_xlnm.Print_Titles" localSheetId="3">'SFPBS'!$2:$4</definedName>
  </definedNames>
  <calcPr fullCalcOnLoad="1"/>
</workbook>
</file>

<file path=xl/sharedStrings.xml><?xml version="1.0" encoding="utf-8"?>
<sst xmlns="http://schemas.openxmlformats.org/spreadsheetml/2006/main" count="763" uniqueCount="353">
  <si>
    <t>2010 / 2011</t>
  </si>
  <si>
    <t>2011 / 2012</t>
  </si>
  <si>
    <t>2012 / 2013</t>
  </si>
  <si>
    <t>2013 / 2014</t>
  </si>
  <si>
    <t>2014 / 2015</t>
  </si>
  <si>
    <t>2015 / 2016</t>
  </si>
  <si>
    <t>2016 / 2017</t>
  </si>
  <si>
    <t>2017 / 2018</t>
  </si>
  <si>
    <t>2018 / 2019</t>
  </si>
  <si>
    <t>2019 / 2020</t>
  </si>
  <si>
    <t>$</t>
  </si>
  <si>
    <t>Other Revenue</t>
  </si>
  <si>
    <t>Total Revenue</t>
  </si>
  <si>
    <t>Employee Costs</t>
  </si>
  <si>
    <t>Depreciation</t>
  </si>
  <si>
    <t>Materials &amp; Contracts</t>
  </si>
  <si>
    <t>Utilities</t>
  </si>
  <si>
    <t>Interest Expenses</t>
  </si>
  <si>
    <t>Insurance</t>
  </si>
  <si>
    <t>Other Expenditure</t>
  </si>
  <si>
    <t>EXPENDITURE: EXPENSES FROM ORDINARY ACTIVITIES</t>
  </si>
  <si>
    <t>Rates</t>
  </si>
  <si>
    <t>Operating Grants, Subsidies &amp; Contributions</t>
  </si>
  <si>
    <t>Fees &amp; Charges</t>
  </si>
  <si>
    <t>Service Charges</t>
  </si>
  <si>
    <t>Interest Earnings</t>
  </si>
  <si>
    <t>INCOME: REVENUES FROM ORDINARY ACTIVITIES</t>
  </si>
  <si>
    <t>EXCLUDING LOSS ON ASSET DISPOSAL</t>
  </si>
  <si>
    <t>EXCLUDING PROFIT ON ASSET DISPOSAL AND NON-OPERATING GRANTS, SUBSIDIES &amp; CONTRIBUTIONS</t>
  </si>
  <si>
    <t>Total Expenditure</t>
  </si>
  <si>
    <t>Sub-total</t>
  </si>
  <si>
    <t>Non-Operating Grants, Subsidies &amp; Contributions</t>
  </si>
  <si>
    <t>Profit on Asset Disposals</t>
  </si>
  <si>
    <t>Loss on Asset Disposals</t>
  </si>
  <si>
    <t>NET RESULT</t>
  </si>
  <si>
    <t xml:space="preserve">    Cash Flow Statement 2010 - 2020</t>
  </si>
  <si>
    <t>RECEIPTS</t>
  </si>
  <si>
    <t>Goods &amp; Services Tax</t>
  </si>
  <si>
    <t>Other</t>
  </si>
  <si>
    <t>PAYMENTS</t>
  </si>
  <si>
    <t>Employee Costs (Operating Only)</t>
  </si>
  <si>
    <t>Utilities (gas, electricity, water, etc.)</t>
  </si>
  <si>
    <t>Interest</t>
  </si>
  <si>
    <t>Receipts Sub-total</t>
  </si>
  <si>
    <t>Payments Sub-total</t>
  </si>
  <si>
    <t>Net Cash Provided by (Used in) Operating Activities</t>
  </si>
  <si>
    <t>CASH FLOWS FROM OPERATING ACTIVITIES</t>
  </si>
  <si>
    <t>CASH FLOWS FROM INVESTING ACTIVITIES</t>
  </si>
  <si>
    <t>Payments for Development of Land Held for Resale</t>
  </si>
  <si>
    <t>Payments for Purchase of Property, Plant &amp; Equipment</t>
  </si>
  <si>
    <t>Payments for Construction of Infrastructure</t>
  </si>
  <si>
    <t>Advances to Community Groups</t>
  </si>
  <si>
    <t>Proceeds from Advances</t>
  </si>
  <si>
    <t>Grants / Contributions for the Development of Assets</t>
  </si>
  <si>
    <t>Proceeds from Sale of Plant and Equipment</t>
  </si>
  <si>
    <t>Net Cash Provided by (Used in) Investing Activities</t>
  </si>
  <si>
    <t>CASH FLOWS FROM FINANCING ACTIVITIES</t>
  </si>
  <si>
    <t>Repayment of Debentures</t>
  </si>
  <si>
    <t>Proceeds from New Borrowings</t>
  </si>
  <si>
    <t>Net Cash Provided by (Used in) Financing Activities</t>
  </si>
  <si>
    <t>NET INCREASE (DECREASE) IN CASH HELD</t>
  </si>
  <si>
    <t>Cash at Beginning of Year</t>
  </si>
  <si>
    <t>Cash at the End of Year</t>
  </si>
  <si>
    <t>Proceeds from Self Supporting Loans</t>
  </si>
  <si>
    <t xml:space="preserve">    Balance Sheet 2010 - 2020</t>
  </si>
  <si>
    <t>ASSETS</t>
  </si>
  <si>
    <t>CURRENT ASSETS</t>
  </si>
  <si>
    <t>NON-CURRENT ASSETS</t>
  </si>
  <si>
    <t>Receivables</t>
  </si>
  <si>
    <t>Inventories</t>
  </si>
  <si>
    <t>Total Current Assets</t>
  </si>
  <si>
    <t>Cash and Cash Equivalents</t>
  </si>
  <si>
    <t>Property, Plant and Equipment</t>
  </si>
  <si>
    <t>Infrastructure</t>
  </si>
  <si>
    <t>Total Non-Current Assets</t>
  </si>
  <si>
    <t>Total Assets</t>
  </si>
  <si>
    <t>CURRENT LIABILITIES</t>
  </si>
  <si>
    <t>LIABILITIES</t>
  </si>
  <si>
    <t>NON-CURRENT LIABILITIES</t>
  </si>
  <si>
    <t>Payables</t>
  </si>
  <si>
    <t>Current Portion of Long Term Borrowings</t>
  </si>
  <si>
    <t>Provisions</t>
  </si>
  <si>
    <t>Total Current Liabilities</t>
  </si>
  <si>
    <t>Total Non-Current Liabilities</t>
  </si>
  <si>
    <t>Total Liabilities</t>
  </si>
  <si>
    <t>NET ASSETS</t>
  </si>
  <si>
    <t>TOTAL EQUITY</t>
  </si>
  <si>
    <t>EQUITY</t>
  </si>
  <si>
    <t>Long Term Borrowings</t>
  </si>
  <si>
    <t xml:space="preserve">    Ten Year Capital Works Program 2010 - 2020</t>
  </si>
  <si>
    <t>DESCRIPTION OF WORK</t>
  </si>
  <si>
    <t>CAPITAL WORKS TOTAL</t>
  </si>
  <si>
    <t xml:space="preserve">    Rate Setting Statement 2010 - 2020</t>
  </si>
  <si>
    <t>REVENUES</t>
  </si>
  <si>
    <t>Governance</t>
  </si>
  <si>
    <t>Health</t>
  </si>
  <si>
    <t>Law, Order, Public Safety</t>
  </si>
  <si>
    <t>Housing</t>
  </si>
  <si>
    <t>Recreation and Culture</t>
  </si>
  <si>
    <t>Transport</t>
  </si>
  <si>
    <t>Economic Services</t>
  </si>
  <si>
    <t>Revenues Sub-total</t>
  </si>
  <si>
    <t>EXPENSES</t>
  </si>
  <si>
    <t>General Purpose Funding</t>
  </si>
  <si>
    <t>NON CASH ITEMS</t>
  </si>
  <si>
    <t>(Profit)/Loss on Asset Disposals</t>
  </si>
  <si>
    <t>Movements in Provisions and Accruals</t>
  </si>
  <si>
    <t>Movement in Non Current Debtors</t>
  </si>
  <si>
    <t>Depreciation on Assets</t>
  </si>
  <si>
    <t>Development of Land Held for Resale</t>
  </si>
  <si>
    <t>Proceeds from New Debentures</t>
  </si>
  <si>
    <t>ESTIMATED SURPLUS/(DEFICIT) JULY 1   B/FWD</t>
  </si>
  <si>
    <t>ESTIMATED SURPLUS/(DEFICIT) JUNE 30   C/FWD</t>
  </si>
  <si>
    <t>Education and Welfare</t>
  </si>
  <si>
    <t>Community Amenities</t>
  </si>
  <si>
    <t>Other Property and Services</t>
  </si>
  <si>
    <t>Purchase Land and Buildings</t>
  </si>
  <si>
    <t xml:space="preserve">    Statement of Comprehensive Income by Nature and Type</t>
  </si>
  <si>
    <t xml:space="preserve">      </t>
  </si>
  <si>
    <t>$000s</t>
  </si>
  <si>
    <t xml:space="preserve"> Statement of Comprehensive Income by Program</t>
  </si>
  <si>
    <t>EXCLUDING PROFIT ON ASSET DISPOSAL, NON-OPERATING GRANTS, SUBSIDIES &amp; CONTRIBUTIONS</t>
  </si>
  <si>
    <t>EXCLUDING LOSS ON ASSET DISPOSAL AND FINANCE COSTS</t>
  </si>
  <si>
    <t>FINANCE COSTS</t>
  </si>
  <si>
    <t>NON-OPERATING GRANTS, SUBSIDIES, CONTRIBUTIONS</t>
  </si>
  <si>
    <t>PROFIT / (LOSS) ON DISPOSAL OF ASSETS</t>
  </si>
  <si>
    <t>Rates Growth</t>
  </si>
  <si>
    <t>Infrastructure Assets - Roads</t>
  </si>
  <si>
    <t>Infrastructure Assets - Other</t>
  </si>
  <si>
    <t>Purchase Plant and Equipment</t>
  </si>
  <si>
    <t>Purchase Furn and Equipment</t>
  </si>
  <si>
    <t>Proceeds Disposal of Assets</t>
  </si>
  <si>
    <t>Self-supporting Loan Principal</t>
  </si>
  <si>
    <t>Transfers to Reserves</t>
  </si>
  <si>
    <t>Transfers from Reserves</t>
  </si>
  <si>
    <t>CAPITAL EXPENDITURE AND REVENUE</t>
  </si>
  <si>
    <t>Net Cash From Investing Activities</t>
  </si>
  <si>
    <t>LOAN INTEREST REPAYMENTS</t>
  </si>
  <si>
    <t>Rec'n &amp; Culture</t>
  </si>
  <si>
    <t>Loan 112 SSL Surf Club -Prin $239,771</t>
  </si>
  <si>
    <t>Loan 113 SSL Speedway - Prin $110,321</t>
  </si>
  <si>
    <t>Loan 119 Aged Care Facility - Prin $1,158,733</t>
  </si>
  <si>
    <t>Loan 120 Loader - Prin $320,000</t>
  </si>
  <si>
    <t>Other Property &amp; Services</t>
  </si>
  <si>
    <t>Loan118 Sandy Beach - Prin $903,540</t>
  </si>
  <si>
    <t>Loan Repayment Schedule (compiled from amortisation schedules)</t>
  </si>
  <si>
    <t>Total Self Supporting Loans</t>
  </si>
  <si>
    <t>Total Council Loans</t>
  </si>
  <si>
    <t>Total Interest</t>
  </si>
  <si>
    <t>LOAN PRINCIPAL REPAYMENTS</t>
  </si>
  <si>
    <t>Loan 112 SSL Surf Club -Principal Outstanding</t>
  </si>
  <si>
    <t>Principal Paid</t>
  </si>
  <si>
    <t>Principal Outstanding</t>
  </si>
  <si>
    <t>Loan 113 SSL Speedway - Principal Outstanding</t>
  </si>
  <si>
    <t>Loan 114 SSL Yacht Club - Prin $29,462</t>
  </si>
  <si>
    <t>Loan 114 SSL Yacht Club - Principal Outstanding</t>
  </si>
  <si>
    <t>Total Self-Supporting Loans</t>
  </si>
  <si>
    <t>Loan 119 Aged Care Facility - Principal Outstanding</t>
  </si>
  <si>
    <t>Loan 120 Loader - Principal Outstanding</t>
  </si>
  <si>
    <t>Loan118 Sandy Beach - Principal Outstanding</t>
  </si>
  <si>
    <t>Council Loans</t>
  </si>
  <si>
    <t>Total All Loans</t>
  </si>
  <si>
    <t>LAND AND BUILDINGS</t>
  </si>
  <si>
    <t>Land Purchased for Resale</t>
  </si>
  <si>
    <t>Total Land and Buildings</t>
  </si>
  <si>
    <t>MOTOR VEHICLES</t>
  </si>
  <si>
    <t>PLANT AND EQUIPMENT</t>
  </si>
  <si>
    <t>Total Plant and Equipment</t>
  </si>
  <si>
    <t>FURNITURE AND EQUIPMENT</t>
  </si>
  <si>
    <t>Furniture &amp; Equipment</t>
  </si>
  <si>
    <t>MRWA Direct Funding Projects</t>
  </si>
  <si>
    <t>Regional Road Group Projects</t>
  </si>
  <si>
    <t>MRWA Black Spot Projects</t>
  </si>
  <si>
    <t>Roads to Recivery Projects</t>
  </si>
  <si>
    <t>R4R Road Construction Projects</t>
  </si>
  <si>
    <t>Carried Forward Projects</t>
  </si>
  <si>
    <t>Total Infrastructure Roads</t>
  </si>
  <si>
    <t>INFRASTRUCTURE - OTHER (Would be supported by detailed schedules of projects)</t>
  </si>
  <si>
    <t xml:space="preserve">INFRASTRUCTURE - ROADS (Would be supported by detailed schedules of road projects) </t>
  </si>
  <si>
    <t>R4R Playground Relocation &amp; soft Fall</t>
  </si>
  <si>
    <t>R4R Standpipe</t>
  </si>
  <si>
    <t>R4R Reticulation Upgrade</t>
  </si>
  <si>
    <t>Total Infrastructure Other</t>
  </si>
  <si>
    <t>R4R Drainage Construction</t>
  </si>
  <si>
    <t>OPERATING REVENUES</t>
  </si>
  <si>
    <t>OPERATING EXPENSES</t>
  </si>
  <si>
    <t>Rates - Growth in Rate Base</t>
  </si>
  <si>
    <t>Rates - Annual Increases</t>
  </si>
  <si>
    <t>Operating Grants, Subsidies and Contributions</t>
  </si>
  <si>
    <t>Non-operating Grants, Subsidies, Contbns</t>
  </si>
  <si>
    <t>Fees and Charges</t>
  </si>
  <si>
    <t>Interest Yield</t>
  </si>
  <si>
    <t>Other revenue</t>
  </si>
  <si>
    <t>Materials and Contracts</t>
  </si>
  <si>
    <t>Utility Charges</t>
  </si>
  <si>
    <t>Insurance Expense</t>
  </si>
  <si>
    <t>Interest Expense (based on estimated borrowings)</t>
  </si>
  <si>
    <t>CAPITAL ASSETS</t>
  </si>
  <si>
    <t>Average Depreciation - Buildings</t>
  </si>
  <si>
    <t>Average Depreciation - Other</t>
  </si>
  <si>
    <t>Average Depreciation - Infrastructure Roads</t>
  </si>
  <si>
    <t>Average Depreciation - Infrastructure Other</t>
  </si>
  <si>
    <t>Variable Assumptions Underpinning the Plan</t>
  </si>
  <si>
    <t>Existing Fleet</t>
  </si>
  <si>
    <t>Additional Vehicles</t>
  </si>
  <si>
    <t>Total Motor Vehicle Purchases</t>
  </si>
  <si>
    <t>Proceeds of Sale</t>
  </si>
  <si>
    <t>Book Value Assets Sold</t>
  </si>
  <si>
    <t>Profit / (Loss) on Sale</t>
  </si>
  <si>
    <t>Existing Heavy Plant</t>
  </si>
  <si>
    <t xml:space="preserve">Existing Small Plant </t>
  </si>
  <si>
    <t>Additional Heavy Plant</t>
  </si>
  <si>
    <t>Additional Small Plant</t>
  </si>
  <si>
    <t>Replacement of Buildings</t>
  </si>
  <si>
    <t>New Buildings</t>
  </si>
  <si>
    <t>Renewal/ Upgrade of Buildings</t>
  </si>
  <si>
    <t>Proceeds from Sale of Land</t>
  </si>
  <si>
    <t>R4R Various</t>
  </si>
  <si>
    <t>Other Infrastructure Works</t>
  </si>
  <si>
    <t>PROCEEDS OF SALE TOTAL</t>
  </si>
  <si>
    <t>PROFIT ON SALE</t>
  </si>
  <si>
    <t>(LOSS) ON SALE</t>
  </si>
  <si>
    <t>BOOK VALE ASSETS SOLD TOTAL</t>
  </si>
  <si>
    <t>Recreation &amp; Culture</t>
  </si>
  <si>
    <t>Loan 121 Indoor Sports Centre</t>
  </si>
  <si>
    <t>Interest Paid</t>
  </si>
  <si>
    <t>Loan 122 Indoor Sports Centre</t>
  </si>
  <si>
    <t>Depreciation Schedule</t>
  </si>
  <si>
    <t xml:space="preserve">Book Value of Land </t>
  </si>
  <si>
    <t>Book Value of  Buildings</t>
  </si>
  <si>
    <t>Land Acquisition</t>
  </si>
  <si>
    <t>Land Disposed</t>
  </si>
  <si>
    <t>Buildings Acquired</t>
  </si>
  <si>
    <t>Buildings Disposed</t>
  </si>
  <si>
    <t>Vehicle Acquisition</t>
  </si>
  <si>
    <t>Vehicle Disposal</t>
  </si>
  <si>
    <t>Plant &amp; Equipment Acquisition</t>
  </si>
  <si>
    <t>Plant &amp; Equipment Disposal</t>
  </si>
  <si>
    <t>Existing Furniture &amp; Equipment</t>
  </si>
  <si>
    <t>Furniture and Equipment Acquired</t>
  </si>
  <si>
    <t>Furniture and Equipment Disposed</t>
  </si>
  <si>
    <t>Existing Infrastructure</t>
  </si>
  <si>
    <t>New Infrastructure Developed</t>
  </si>
  <si>
    <t xml:space="preserve">INFRASTRUCTURE (ALL) </t>
  </si>
  <si>
    <t>Total Land</t>
  </si>
  <si>
    <t>Total Buildings</t>
  </si>
  <si>
    <t xml:space="preserve">Depreciation </t>
  </si>
  <si>
    <t>Total Plant &amp; Equipment</t>
  </si>
  <si>
    <t>TOTAL PROPERTY PLANT AND EQUIPMENT</t>
  </si>
  <si>
    <t>Total</t>
  </si>
  <si>
    <t>Book Value</t>
  </si>
  <si>
    <t>Total Furniture &amp; Equipment</t>
  </si>
  <si>
    <t>Book Value of Furniture &amp; Equipment</t>
  </si>
  <si>
    <t>Total Infrastructure</t>
  </si>
  <si>
    <t>Book Value Infrastructure</t>
  </si>
  <si>
    <t>Total Depreciation</t>
  </si>
  <si>
    <t>DESCRIPTION OF ASSET CLASSES</t>
  </si>
  <si>
    <t>Book Value of Vehicles Plant &amp; Equipment</t>
  </si>
  <si>
    <t>Key Performance Indicators</t>
  </si>
  <si>
    <t>OPERATING SURPLUS RATIO</t>
  </si>
  <si>
    <t>Operating Revenue</t>
  </si>
  <si>
    <t xml:space="preserve"> = Net Operating Surplus</t>
  </si>
  <si>
    <t>Less Operating Exp incl interest &amp; depreciation</t>
  </si>
  <si>
    <t>Divided by Own Source Revenue (Rates)</t>
  </si>
  <si>
    <t>Ratio Target - (+ve) Between 0% and 15%</t>
  </si>
  <si>
    <t>CURRENT RATIO</t>
  </si>
  <si>
    <t>Current Assets</t>
  </si>
  <si>
    <t>Less Restricted Assets</t>
  </si>
  <si>
    <t xml:space="preserve"> = Net Current Assets</t>
  </si>
  <si>
    <t>Divided by Current Liabilities less</t>
  </si>
  <si>
    <t>Current Liabilities ass'd with Restricted Assets</t>
  </si>
  <si>
    <t>Assumed Leave Cash Reserve same as Provision</t>
  </si>
  <si>
    <t xml:space="preserve"> = Net Current Liabilities</t>
  </si>
  <si>
    <t>Ratio Target &gt; or = to 1:1</t>
  </si>
  <si>
    <t>RATES COVERAGE RATIO</t>
  </si>
  <si>
    <t>Total Rates Revenue</t>
  </si>
  <si>
    <t>Divided by Total Expenses</t>
  </si>
  <si>
    <t>Ratio Target &gt; or = to 40%</t>
  </si>
  <si>
    <t>DEBT SERVICE COVERAGE RATIO</t>
  </si>
  <si>
    <t>Operating Surplus before Interest &amp; Depreciation</t>
  </si>
  <si>
    <t>Divided by Principal and Interest</t>
  </si>
  <si>
    <t xml:space="preserve"> = Operating Revenue</t>
  </si>
  <si>
    <t>Less Operating Expenses</t>
  </si>
  <si>
    <t>Except Interest Expense and Depreciation</t>
  </si>
  <si>
    <t>Ratio Target &gt; or = 2</t>
  </si>
  <si>
    <t xml:space="preserve"> = OSBID</t>
  </si>
  <si>
    <t>ASSET SUSTAINABILITY RATIO</t>
  </si>
  <si>
    <t>Capital Renewal Expenditure</t>
  </si>
  <si>
    <t>Divided by Depreciation Expense</t>
  </si>
  <si>
    <t>ASSET CONSUMPTION RATIO</t>
  </si>
  <si>
    <t>Deprec'd Replace't Cost Assets (Written Down Value)</t>
  </si>
  <si>
    <t>Divided by Current Replacement Cost</t>
  </si>
  <si>
    <t>New Assets Acquired at Cost</t>
  </si>
  <si>
    <t>Assumed Current Replacement Cost</t>
  </si>
  <si>
    <t>New Current Replacement Cost</t>
  </si>
  <si>
    <t>ASSET RENEWAL FUNDING RATIO</t>
  </si>
  <si>
    <t>Net Present Value of Planned Renewal Expenditure</t>
  </si>
  <si>
    <t>NPV OF CAPITAL WORKS</t>
  </si>
  <si>
    <t>Divided by NPV of Asset Mgment Plan Projections</t>
  </si>
  <si>
    <t>Ratio Target 95% to 105%</t>
  </si>
  <si>
    <t>NPV RATE 5% (BELOW)</t>
  </si>
  <si>
    <t>Depreciation on Non-current Assets (see below)</t>
  </si>
  <si>
    <t>Equity Statement</t>
  </si>
  <si>
    <t>RETAINED SURPLUS</t>
  </si>
  <si>
    <t>CASH BACKED RESERVES</t>
  </si>
  <si>
    <t>ASSET REVALUATION RESERVE</t>
  </si>
  <si>
    <t>Balance 1 July</t>
  </si>
  <si>
    <t>Net Result</t>
  </si>
  <si>
    <t>Balance 30 June</t>
  </si>
  <si>
    <t>Transfer from / (to) Reserve</t>
  </si>
  <si>
    <t>Total Other Comprehensive Income</t>
  </si>
  <si>
    <t xml:space="preserve">           Balance 30 June</t>
  </si>
  <si>
    <t xml:space="preserve">      Balance 30 June</t>
  </si>
  <si>
    <t>Rate Levies (Under adopted assumptions)</t>
  </si>
  <si>
    <t xml:space="preserve">Net Operating Profit/(Loss) </t>
  </si>
  <si>
    <t>Other Comprehensive Income</t>
  </si>
  <si>
    <t>Depreciation on New Assets</t>
  </si>
  <si>
    <t>Changes in Valuation of non-current assets</t>
  </si>
  <si>
    <t>TOTAL COMPREHENSIVE INCOME</t>
  </si>
  <si>
    <t>Developers Projects - New</t>
  </si>
  <si>
    <t>Local Roadworks - Renewal</t>
  </si>
  <si>
    <t>Cash Reserves</t>
  </si>
  <si>
    <t>LAND PURCHASE AND DEVELOPMENT</t>
  </si>
  <si>
    <t>PLANT RESERVE</t>
  </si>
  <si>
    <t>SANITATION (RUBBISH REMOVAL) RESERVE</t>
  </si>
  <si>
    <t>EMPLOYEE ENTITLEMENTS RESERVE</t>
  </si>
  <si>
    <t>WORKERS COMPENSATION PREMIUM RESERVE</t>
  </si>
  <si>
    <t>Opening Balance</t>
  </si>
  <si>
    <t>Transfer to Reserve</t>
  </si>
  <si>
    <t>Transfer FromReserve</t>
  </si>
  <si>
    <t>ROAD INFRASTRUCTURE RENEWAL</t>
  </si>
  <si>
    <t>Transfer From Reserve</t>
  </si>
  <si>
    <t>TOTAL RESERVES</t>
  </si>
  <si>
    <t>Total Reserves 30 June</t>
  </si>
  <si>
    <t>BUILDING RESERVE</t>
  </si>
  <si>
    <t>Fair Value Revaluation (6% - 3-yearly)</t>
  </si>
  <si>
    <t>Net Assets as Balance Sheet</t>
  </si>
  <si>
    <t>Inventories - Land Held for Resale</t>
  </si>
  <si>
    <t>New Property Plant and Equipment</t>
  </si>
  <si>
    <t>Fair Value Adjustment</t>
  </si>
  <si>
    <t>NET CURRENT ASSETS</t>
  </si>
  <si>
    <t>2009 / 2010</t>
  </si>
  <si>
    <t>OPENING/CLOSING FUNDS</t>
  </si>
  <si>
    <t>LESS: Restricted Reserves</t>
  </si>
  <si>
    <t>LESS: Restricted Muni</t>
  </si>
  <si>
    <t>ADD: Principal Loan Repayments</t>
  </si>
  <si>
    <t>ADD: Cash-backed Leave Reserve</t>
  </si>
  <si>
    <t>CONTROL = 0</t>
  </si>
  <si>
    <t>All Operating Expenses</t>
  </si>
  <si>
    <t>Ratio Target 50% to 75%</t>
  </si>
  <si>
    <t>Ratio Target 90% to 100%</t>
  </si>
  <si>
    <t>Town of Eagle Bay Long Term Financial Plan   2010 - 2020</t>
  </si>
  <si>
    <t>Town of Eagle Bay Long Term Financial Plan 2010 - 2020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</si>
</sst>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.00_);_(&quot;$&quot;* \(#,##0.00\);_(&quot;$&quot;* &quot;-&quot;??_);_(@_)"/>
    <numFmt numFmtId="168" formatCode="_-* #,##0.0_-;\-* #,##0.0_-;_-* &quot;-&quot;??_-;_-@_-"/>
    <numFmt numFmtId="169" formatCode="_-* #,##0_-;\-* #,##0_-;_-* &quot;-&quot;??_-;_-@_-"/>
    <numFmt numFmtId="170" formatCode="_(* #,##0.0_);_(* \(#,##0.0\);_(* &quot;-&quot;??_);_(@_)"/>
    <numFmt numFmtId="171" formatCode="_-* #,##0.000_-;\-* #,##0.000_-;_-* &quot;-&quot;???_-;_-@_-"/>
    <numFmt numFmtId="172" formatCode="_-* #,##0.0_-;\-* #,##0.0_-;_-* &quot;-&quot;?_-;_-@_-"/>
    <numFmt numFmtId="173" formatCode="0.0%"/>
    <numFmt numFmtId="174" formatCode="_-* #,##0.0000_-;\-* #,##0.0000_-;_-* &quot;-&quot;????_-;_-@_-"/>
    <numFmt numFmtId="175" formatCode="_-* #,##0.00000_-;\-* #,##0.00000_-;_-* &quot;-&quot;?????_-;_-@_-"/>
    <numFmt numFmtId="176" formatCode="[$-409]h:mm:ss\ AM/PM"/>
    <numFmt numFmtId="177" formatCode="_-&quot;$&quot;* #,##0.0_-;\-&quot;$&quot;* #,##0.0_-;_-&quot;$&quot;* &quot;-&quot;??_-;_-@_-"/>
    <numFmt numFmtId="178" formatCode="_-&quot;$&quot;* #,##0_-;\-&quot;$&quot;* #,##0_-;_-&quot;$&quot;* &quot;-&quot;??_-;_-@_-"/>
    <numFmt numFmtId="179" formatCode="#,##0;\(#,##0\)"/>
    <numFmt numFmtId="180" formatCode="0.000"/>
    <numFmt numFmtId="181" formatCode="0.0000"/>
    <numFmt numFmtId="182" formatCode="0.0"/>
    <numFmt numFmtId="183" formatCode="_(* #,##0_);_(* \(#,##0\);_(* &quot;0&quot;_);_(@_)"/>
  </numFmts>
  <fonts count="17">
    <font>
      <sz val="10"/>
      <name val="Arial"/>
      <family val="0"/>
    </font>
    <font>
      <b/>
      <sz val="18"/>
      <color indexed="9"/>
      <name val="Calibri"/>
      <family val="2"/>
    </font>
    <font>
      <b/>
      <i/>
      <sz val="12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8"/>
      <name val="Arial"/>
      <family val="0"/>
    </font>
    <font>
      <b/>
      <sz val="16"/>
      <color indexed="9"/>
      <name val="Calibri"/>
      <family val="2"/>
    </font>
    <font>
      <b/>
      <sz val="10"/>
      <name val="Arial Narrow"/>
      <family val="2"/>
    </font>
    <font>
      <sz val="9"/>
      <name val="Calibri"/>
      <family val="2"/>
    </font>
    <font>
      <b/>
      <i/>
      <sz val="10"/>
      <name val="Calibri"/>
      <family val="2"/>
    </font>
    <font>
      <i/>
      <sz val="10"/>
      <name val="Arial"/>
      <family val="0"/>
    </font>
    <font>
      <b/>
      <sz val="10"/>
      <name val="Arial"/>
      <family val="0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</fills>
  <borders count="62">
    <border>
      <left/>
      <right/>
      <top/>
      <bottom/>
      <diagonal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>
        <color indexed="63"/>
      </bottom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/>
      <top/>
      <bottom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>
        <color indexed="63"/>
      </left>
      <right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/>
      <right>
        <color indexed="63"/>
      </right>
      <top style="medium"/>
      <bottom>
        <color indexed="63"/>
      </bottom>
    </border>
    <border>
      <left/>
      <right>
        <color indexed="63"/>
      </right>
      <top>
        <color indexed="63"/>
      </top>
      <bottom style="medium"/>
    </border>
    <border>
      <left/>
      <right>
        <color indexed="63"/>
      </right>
      <top/>
      <bottom style="medium"/>
    </border>
    <border>
      <left>
        <color indexed="63"/>
      </left>
      <right style="medium"/>
      <top/>
      <bottom>
        <color indexed="63"/>
      </bottom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/>
      <right>
        <color indexed="63"/>
      </right>
      <top/>
      <bottom style="double"/>
    </border>
    <border>
      <left>
        <color indexed="63"/>
      </left>
      <right style="medium"/>
      <top/>
      <bottom style="double"/>
    </border>
    <border>
      <left style="medium"/>
      <right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/>
      <bottom/>
    </border>
    <border>
      <left>
        <color indexed="63"/>
      </left>
      <right style="medium"/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 style="medium"/>
      <right/>
      <top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9">
    <xf numFmtId="0" fontId="0" fillId="0" borderId="0" xfId="0" applyAlignment="1">
      <alignment/>
    </xf>
    <xf numFmtId="43" fontId="4" fillId="2" borderId="0" xfId="15" applyFont="1" applyFill="1" applyBorder="1" applyAlignment="1">
      <alignment/>
    </xf>
    <xf numFmtId="166" fontId="4" fillId="2" borderId="0" xfId="15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44" fontId="4" fillId="2" borderId="2" xfId="17" applyFont="1" applyFill="1" applyBorder="1" applyAlignment="1">
      <alignment/>
    </xf>
    <xf numFmtId="43" fontId="4" fillId="2" borderId="3" xfId="15" applyFont="1" applyFill="1" applyBorder="1" applyAlignment="1">
      <alignment/>
    </xf>
    <xf numFmtId="166" fontId="4" fillId="2" borderId="3" xfId="15" applyNumberFormat="1" applyFont="1" applyFill="1" applyBorder="1" applyAlignment="1">
      <alignment/>
    </xf>
    <xf numFmtId="44" fontId="4" fillId="2" borderId="4" xfId="17" applyFont="1" applyFill="1" applyBorder="1" applyAlignment="1">
      <alignment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166" fontId="4" fillId="2" borderId="0" xfId="17" applyNumberFormat="1" applyFont="1" applyFill="1" applyBorder="1" applyAlignment="1">
      <alignment horizontal="center"/>
    </xf>
    <xf numFmtId="166" fontId="4" fillId="2" borderId="3" xfId="17" applyNumberFormat="1" applyFont="1" applyFill="1" applyBorder="1" applyAlignment="1">
      <alignment horizontal="center"/>
    </xf>
    <xf numFmtId="166" fontId="4" fillId="2" borderId="0" xfId="17" applyNumberFormat="1" applyFont="1" applyFill="1" applyBorder="1" applyAlignment="1">
      <alignment/>
    </xf>
    <xf numFmtId="166" fontId="4" fillId="2" borderId="3" xfId="17" applyNumberFormat="1" applyFont="1" applyFill="1" applyBorder="1" applyAlignment="1">
      <alignment/>
    </xf>
    <xf numFmtId="0" fontId="3" fillId="2" borderId="12" xfId="0" applyFont="1" applyFill="1" applyBorder="1" applyAlignment="1">
      <alignment horizontal="left" indent="3"/>
    </xf>
    <xf numFmtId="0" fontId="3" fillId="2" borderId="0" xfId="0" applyFont="1" applyFill="1" applyBorder="1" applyAlignment="1">
      <alignment horizontal="left" indent="3"/>
    </xf>
    <xf numFmtId="166" fontId="4" fillId="2" borderId="13" xfId="17" applyNumberFormat="1" applyFont="1" applyFill="1" applyBorder="1" applyAlignment="1">
      <alignment/>
    </xf>
    <xf numFmtId="166" fontId="4" fillId="2" borderId="14" xfId="17" applyNumberFormat="1" applyFont="1" applyFill="1" applyBorder="1" applyAlignment="1">
      <alignment/>
    </xf>
    <xf numFmtId="166" fontId="4" fillId="2" borderId="15" xfId="17" applyNumberFormat="1" applyFont="1" applyFill="1" applyBorder="1" applyAlignment="1">
      <alignment/>
    </xf>
    <xf numFmtId="166" fontId="4" fillId="2" borderId="16" xfId="17" applyNumberFormat="1" applyFont="1" applyFill="1" applyBorder="1" applyAlignment="1">
      <alignment/>
    </xf>
    <xf numFmtId="166" fontId="4" fillId="2" borderId="13" xfId="17" applyNumberFormat="1" applyFont="1" applyFill="1" applyBorder="1" applyAlignment="1">
      <alignment/>
    </xf>
    <xf numFmtId="166" fontId="4" fillId="2" borderId="14" xfId="17" applyNumberFormat="1" applyFont="1" applyFill="1" applyBorder="1" applyAlignment="1">
      <alignment/>
    </xf>
    <xf numFmtId="166" fontId="4" fillId="2" borderId="15" xfId="17" applyNumberFormat="1" applyFont="1" applyFill="1" applyBorder="1" applyAlignment="1">
      <alignment/>
    </xf>
    <xf numFmtId="166" fontId="4" fillId="2" borderId="16" xfId="17" applyNumberFormat="1" applyFont="1" applyFill="1" applyBorder="1" applyAlignment="1">
      <alignment/>
    </xf>
    <xf numFmtId="166" fontId="4" fillId="2" borderId="0" xfId="15" applyNumberFormat="1" applyFont="1" applyFill="1" applyBorder="1" applyAlignment="1">
      <alignment/>
    </xf>
    <xf numFmtId="166" fontId="4" fillId="2" borderId="17" xfId="15" applyNumberFormat="1" applyFont="1" applyFill="1" applyBorder="1" applyAlignment="1">
      <alignment/>
    </xf>
    <xf numFmtId="166" fontId="4" fillId="2" borderId="0" xfId="17" applyNumberFormat="1" applyFont="1" applyFill="1" applyBorder="1" applyAlignment="1">
      <alignment/>
    </xf>
    <xf numFmtId="166" fontId="4" fillId="2" borderId="3" xfId="17" applyNumberFormat="1" applyFont="1" applyFill="1" applyBorder="1" applyAlignment="1">
      <alignment/>
    </xf>
    <xf numFmtId="166" fontId="4" fillId="2" borderId="18" xfId="15" applyNumberFormat="1" applyFont="1" applyFill="1" applyBorder="1" applyAlignment="1">
      <alignment/>
    </xf>
    <xf numFmtId="166" fontId="4" fillId="2" borderId="19" xfId="15" applyNumberFormat="1" applyFont="1" applyFill="1" applyBorder="1" applyAlignment="1">
      <alignment/>
    </xf>
    <xf numFmtId="0" fontId="0" fillId="0" borderId="0" xfId="0" applyBorder="1" applyAlignment="1">
      <alignment horizontal="left" indent="3"/>
    </xf>
    <xf numFmtId="0" fontId="4" fillId="2" borderId="0" xfId="0" applyFont="1" applyFill="1" applyBorder="1" applyAlignment="1">
      <alignment horizontal="left" indent="5"/>
    </xf>
    <xf numFmtId="0" fontId="3" fillId="2" borderId="20" xfId="0" applyFont="1" applyFill="1" applyBorder="1" applyAlignment="1">
      <alignment horizontal="left" indent="8"/>
    </xf>
    <xf numFmtId="0" fontId="3" fillId="2" borderId="0" xfId="0" applyFont="1" applyFill="1" applyBorder="1" applyAlignment="1">
      <alignment horizontal="left" indent="8"/>
    </xf>
    <xf numFmtId="166" fontId="4" fillId="2" borderId="0" xfId="15" applyNumberFormat="1" applyFont="1" applyFill="1" applyBorder="1" applyAlignment="1">
      <alignment/>
    </xf>
    <xf numFmtId="166" fontId="4" fillId="2" borderId="3" xfId="15" applyNumberFormat="1" applyFont="1" applyFill="1" applyBorder="1" applyAlignment="1">
      <alignment/>
    </xf>
    <xf numFmtId="0" fontId="0" fillId="0" borderId="0" xfId="0" applyBorder="1" applyAlignment="1">
      <alignment/>
    </xf>
    <xf numFmtId="49" fontId="4" fillId="2" borderId="12" xfId="0" applyNumberFormat="1" applyFont="1" applyFill="1" applyBorder="1" applyAlignment="1">
      <alignment horizontal="left" indent="1"/>
    </xf>
    <xf numFmtId="49" fontId="4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 indent="2"/>
    </xf>
    <xf numFmtId="0" fontId="4" fillId="2" borderId="0" xfId="0" applyFont="1" applyFill="1" applyBorder="1" applyAlignment="1">
      <alignment horizontal="left" indent="1"/>
    </xf>
    <xf numFmtId="0" fontId="4" fillId="2" borderId="12" xfId="0" applyFont="1" applyFill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2" xfId="0" applyBorder="1" applyAlignment="1">
      <alignment/>
    </xf>
    <xf numFmtId="169" fontId="4" fillId="2" borderId="0" xfId="15" applyNumberFormat="1" applyFont="1" applyFill="1" applyBorder="1" applyAlignment="1">
      <alignment/>
    </xf>
    <xf numFmtId="169" fontId="4" fillId="2" borderId="0" xfId="15" applyNumberFormat="1" applyFont="1" applyFill="1" applyBorder="1" applyAlignment="1">
      <alignment/>
    </xf>
    <xf numFmtId="166" fontId="4" fillId="0" borderId="0" xfId="15" applyNumberFormat="1" applyFont="1" applyFill="1" applyBorder="1" applyAlignment="1">
      <alignment/>
    </xf>
    <xf numFmtId="166" fontId="4" fillId="0" borderId="3" xfId="15" applyNumberFormat="1" applyFont="1" applyFill="1" applyBorder="1" applyAlignment="1">
      <alignment/>
    </xf>
    <xf numFmtId="166" fontId="4" fillId="2" borderId="21" xfId="15" applyNumberFormat="1" applyFont="1" applyFill="1" applyBorder="1" applyAlignment="1">
      <alignment/>
    </xf>
    <xf numFmtId="166" fontId="4" fillId="2" borderId="22" xfId="15" applyNumberFormat="1" applyFont="1" applyFill="1" applyBorder="1" applyAlignment="1">
      <alignment/>
    </xf>
    <xf numFmtId="169" fontId="4" fillId="2" borderId="3" xfId="15" applyNumberFormat="1" applyFont="1" applyFill="1" applyBorder="1" applyAlignment="1">
      <alignment/>
    </xf>
    <xf numFmtId="169" fontId="4" fillId="2" borderId="22" xfId="15" applyNumberFormat="1" applyFont="1" applyFill="1" applyBorder="1" applyAlignment="1">
      <alignment/>
    </xf>
    <xf numFmtId="6" fontId="3" fillId="2" borderId="10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left" indent="1"/>
    </xf>
    <xf numFmtId="169" fontId="4" fillId="2" borderId="21" xfId="15" applyNumberFormat="1" applyFont="1" applyFill="1" applyBorder="1" applyAlignment="1">
      <alignment/>
    </xf>
    <xf numFmtId="0" fontId="12" fillId="0" borderId="0" xfId="0" applyFont="1" applyBorder="1" applyAlignment="1">
      <alignment horizontal="left" indent="1"/>
    </xf>
    <xf numFmtId="0" fontId="3" fillId="2" borderId="0" xfId="0" applyFont="1" applyFill="1" applyBorder="1" applyAlignment="1">
      <alignment horizontal="left" indent="1"/>
    </xf>
    <xf numFmtId="166" fontId="3" fillId="2" borderId="0" xfId="15" applyNumberFormat="1" applyFont="1" applyFill="1" applyBorder="1" applyAlignment="1">
      <alignment/>
    </xf>
    <xf numFmtId="166" fontId="3" fillId="2" borderId="3" xfId="15" applyNumberFormat="1" applyFont="1" applyFill="1" applyBorder="1" applyAlignment="1">
      <alignment/>
    </xf>
    <xf numFmtId="0" fontId="3" fillId="2" borderId="12" xfId="0" applyFont="1" applyFill="1" applyBorder="1" applyAlignment="1">
      <alignment horizontal="left" indent="1"/>
    </xf>
    <xf numFmtId="44" fontId="4" fillId="2" borderId="18" xfId="17" applyFont="1" applyFill="1" applyBorder="1" applyAlignment="1">
      <alignment/>
    </xf>
    <xf numFmtId="44" fontId="4" fillId="2" borderId="19" xfId="17" applyFont="1" applyFill="1" applyBorder="1" applyAlignment="1">
      <alignment/>
    </xf>
    <xf numFmtId="0" fontId="4" fillId="2" borderId="12" xfId="0" applyFont="1" applyFill="1" applyBorder="1" applyAlignment="1">
      <alignment horizontal="left" indent="1"/>
    </xf>
    <xf numFmtId="0" fontId="3" fillId="0" borderId="12" xfId="0" applyFont="1" applyBorder="1" applyAlignment="1">
      <alignment horizontal="left" indent="1"/>
    </xf>
    <xf numFmtId="0" fontId="4" fillId="0" borderId="0" xfId="0" applyFont="1" applyBorder="1" applyAlignment="1">
      <alignment/>
    </xf>
    <xf numFmtId="0" fontId="3" fillId="2" borderId="12" xfId="0" applyFont="1" applyFill="1" applyBorder="1" applyAlignment="1">
      <alignment horizontal="left" indent="1"/>
    </xf>
    <xf numFmtId="166" fontId="3" fillId="2" borderId="23" xfId="15" applyNumberFormat="1" applyFont="1" applyFill="1" applyBorder="1" applyAlignment="1">
      <alignment/>
    </xf>
    <xf numFmtId="166" fontId="3" fillId="2" borderId="24" xfId="15" applyNumberFormat="1" applyFont="1" applyFill="1" applyBorder="1" applyAlignment="1">
      <alignment/>
    </xf>
    <xf numFmtId="166" fontId="3" fillId="2" borderId="9" xfId="15" applyNumberFormat="1" applyFont="1" applyFill="1" applyBorder="1" applyAlignment="1">
      <alignment/>
    </xf>
    <xf numFmtId="166" fontId="3" fillId="2" borderId="25" xfId="15" applyNumberFormat="1" applyFont="1" applyFill="1" applyBorder="1" applyAlignment="1">
      <alignment/>
    </xf>
    <xf numFmtId="169" fontId="3" fillId="2" borderId="0" xfId="15" applyNumberFormat="1" applyFont="1" applyFill="1" applyBorder="1" applyAlignment="1">
      <alignment/>
    </xf>
    <xf numFmtId="169" fontId="3" fillId="2" borderId="3" xfId="15" applyNumberFormat="1" applyFont="1" applyFill="1" applyBorder="1" applyAlignment="1">
      <alignment/>
    </xf>
    <xf numFmtId="166" fontId="3" fillId="2" borderId="13" xfId="17" applyNumberFormat="1" applyFont="1" applyFill="1" applyBorder="1" applyAlignment="1">
      <alignment/>
    </xf>
    <xf numFmtId="166" fontId="3" fillId="2" borderId="14" xfId="17" applyNumberFormat="1" applyFont="1" applyFill="1" applyBorder="1" applyAlignment="1">
      <alignment/>
    </xf>
    <xf numFmtId="166" fontId="3" fillId="2" borderId="0" xfId="17" applyNumberFormat="1" applyFont="1" applyFill="1" applyBorder="1" applyAlignment="1">
      <alignment/>
    </xf>
    <xf numFmtId="166" fontId="3" fillId="2" borderId="3" xfId="17" applyNumberFormat="1" applyFont="1" applyFill="1" applyBorder="1" applyAlignment="1">
      <alignment/>
    </xf>
    <xf numFmtId="169" fontId="4" fillId="0" borderId="0" xfId="15" applyNumberFormat="1" applyFont="1" applyAlignment="1">
      <alignment/>
    </xf>
    <xf numFmtId="169" fontId="4" fillId="0" borderId="21" xfId="15" applyNumberFormat="1" applyFont="1" applyBorder="1" applyAlignment="1">
      <alignment/>
    </xf>
    <xf numFmtId="169" fontId="3" fillId="2" borderId="13" xfId="15" applyNumberFormat="1" applyFont="1" applyFill="1" applyBorder="1" applyAlignment="1">
      <alignment/>
    </xf>
    <xf numFmtId="49" fontId="3" fillId="2" borderId="12" xfId="0" applyNumberFormat="1" applyFont="1" applyFill="1" applyBorder="1" applyAlignment="1">
      <alignment horizontal="left" indent="1"/>
    </xf>
    <xf numFmtId="49" fontId="3" fillId="2" borderId="0" xfId="0" applyNumberFormat="1" applyFont="1" applyFill="1" applyBorder="1" applyAlignment="1">
      <alignment horizontal="left"/>
    </xf>
    <xf numFmtId="0" fontId="12" fillId="0" borderId="0" xfId="0" applyFont="1" applyAlignment="1">
      <alignment/>
    </xf>
    <xf numFmtId="166" fontId="4" fillId="0" borderId="0" xfId="17" applyNumberFormat="1" applyFont="1" applyFill="1" applyBorder="1" applyAlignment="1">
      <alignment/>
    </xf>
    <xf numFmtId="166" fontId="4" fillId="0" borderId="3" xfId="17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left" indent="3"/>
    </xf>
    <xf numFmtId="0" fontId="4" fillId="0" borderId="0" xfId="0" applyFont="1" applyFill="1" applyBorder="1" applyAlignment="1">
      <alignment horizontal="left" indent="3"/>
    </xf>
    <xf numFmtId="173" fontId="4" fillId="0" borderId="0" xfId="19" applyNumberFormat="1" applyFont="1" applyFill="1" applyBorder="1" applyAlignment="1">
      <alignment/>
    </xf>
    <xf numFmtId="173" fontId="4" fillId="0" borderId="3" xfId="19" applyNumberFormat="1" applyFont="1" applyFill="1" applyBorder="1" applyAlignment="1">
      <alignment/>
    </xf>
    <xf numFmtId="0" fontId="3" fillId="2" borderId="12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49" fontId="4" fillId="2" borderId="12" xfId="0" applyNumberFormat="1" applyFont="1" applyFill="1" applyBorder="1" applyAlignment="1">
      <alignment horizontal="left" indent="1"/>
    </xf>
    <xf numFmtId="0" fontId="4" fillId="2" borderId="0" xfId="0" applyFont="1" applyFill="1" applyBorder="1" applyAlignment="1">
      <alignment/>
    </xf>
    <xf numFmtId="166" fontId="4" fillId="2" borderId="0" xfId="15" applyNumberFormat="1" applyFont="1" applyFill="1" applyBorder="1" applyAlignment="1">
      <alignment/>
    </xf>
    <xf numFmtId="169" fontId="4" fillId="2" borderId="0" xfId="15" applyNumberFormat="1" applyFont="1" applyFill="1" applyBorder="1" applyAlignment="1">
      <alignment/>
    </xf>
    <xf numFmtId="169" fontId="4" fillId="2" borderId="0" xfId="15" applyNumberFormat="1" applyFont="1" applyFill="1" applyBorder="1" applyAlignment="1">
      <alignment horizontal="left"/>
    </xf>
    <xf numFmtId="169" fontId="4" fillId="2" borderId="3" xfId="15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 indent="1"/>
    </xf>
    <xf numFmtId="49" fontId="3" fillId="2" borderId="9" xfId="0" applyNumberFormat="1" applyFont="1" applyFill="1" applyBorder="1" applyAlignment="1">
      <alignment horizontal="left"/>
    </xf>
    <xf numFmtId="49" fontId="4" fillId="2" borderId="9" xfId="0" applyNumberFormat="1" applyFont="1" applyFill="1" applyBorder="1" applyAlignment="1">
      <alignment horizontal="left"/>
    </xf>
    <xf numFmtId="166" fontId="4" fillId="2" borderId="9" xfId="15" applyNumberFormat="1" applyFont="1" applyFill="1" applyBorder="1" applyAlignment="1">
      <alignment/>
    </xf>
    <xf numFmtId="166" fontId="4" fillId="2" borderId="25" xfId="15" applyNumberFormat="1" applyFont="1" applyFill="1" applyBorder="1" applyAlignment="1">
      <alignment/>
    </xf>
    <xf numFmtId="0" fontId="3" fillId="2" borderId="12" xfId="0" applyFont="1" applyFill="1" applyBorder="1" applyAlignment="1">
      <alignment horizontal="left" indent="8"/>
    </xf>
    <xf numFmtId="0" fontId="3" fillId="2" borderId="0" xfId="0" applyFont="1" applyFill="1" applyBorder="1" applyAlignment="1">
      <alignment horizontal="left" indent="8"/>
    </xf>
    <xf numFmtId="44" fontId="4" fillId="0" borderId="0" xfId="17" applyFont="1" applyFill="1" applyBorder="1" applyAlignment="1">
      <alignment/>
    </xf>
    <xf numFmtId="166" fontId="4" fillId="2" borderId="10" xfId="17" applyNumberFormat="1" applyFont="1" applyFill="1" applyBorder="1" applyAlignment="1">
      <alignment/>
    </xf>
    <xf numFmtId="166" fontId="4" fillId="2" borderId="11" xfId="17" applyNumberFormat="1" applyFont="1" applyFill="1" applyBorder="1" applyAlignment="1">
      <alignment/>
    </xf>
    <xf numFmtId="49" fontId="4" fillId="2" borderId="0" xfId="0" applyNumberFormat="1" applyFont="1" applyFill="1" applyBorder="1" applyAlignment="1">
      <alignment horizontal="left"/>
    </xf>
    <xf numFmtId="169" fontId="4" fillId="2" borderId="0" xfId="15" applyNumberFormat="1" applyFont="1" applyFill="1" applyBorder="1" applyAlignment="1">
      <alignment horizontal="right"/>
    </xf>
    <xf numFmtId="169" fontId="3" fillId="2" borderId="0" xfId="15" applyNumberFormat="1" applyFont="1" applyFill="1" applyBorder="1" applyAlignment="1">
      <alignment/>
    </xf>
    <xf numFmtId="166" fontId="3" fillId="2" borderId="0" xfId="15" applyNumberFormat="1" applyFont="1" applyFill="1" applyBorder="1" applyAlignment="1">
      <alignment/>
    </xf>
    <xf numFmtId="43" fontId="4" fillId="2" borderId="21" xfId="15" applyNumberFormat="1" applyFont="1" applyFill="1" applyBorder="1" applyAlignment="1">
      <alignment/>
    </xf>
    <xf numFmtId="49" fontId="3" fillId="2" borderId="0" xfId="0" applyNumberFormat="1" applyFont="1" applyFill="1" applyBorder="1" applyAlignment="1">
      <alignment horizontal="left"/>
    </xf>
    <xf numFmtId="166" fontId="3" fillId="2" borderId="21" xfId="15" applyNumberFormat="1" applyFont="1" applyFill="1" applyBorder="1" applyAlignment="1">
      <alignment/>
    </xf>
    <xf numFmtId="166" fontId="4" fillId="2" borderId="21" xfId="17" applyNumberFormat="1" applyFont="1" applyFill="1" applyBorder="1" applyAlignment="1">
      <alignment horizontal="center"/>
    </xf>
    <xf numFmtId="166" fontId="4" fillId="2" borderId="22" xfId="17" applyNumberFormat="1" applyFont="1" applyFill="1" applyBorder="1" applyAlignment="1">
      <alignment horizontal="center"/>
    </xf>
    <xf numFmtId="10" fontId="3" fillId="2" borderId="0" xfId="19" applyNumberFormat="1" applyFont="1" applyFill="1" applyBorder="1" applyAlignment="1">
      <alignment/>
    </xf>
    <xf numFmtId="10" fontId="3" fillId="2" borderId="3" xfId="19" applyNumberFormat="1" applyFont="1" applyFill="1" applyBorder="1" applyAlignment="1">
      <alignment/>
    </xf>
    <xf numFmtId="169" fontId="13" fillId="2" borderId="0" xfId="15" applyNumberFormat="1" applyFont="1" applyFill="1" applyBorder="1" applyAlignment="1">
      <alignment/>
    </xf>
    <xf numFmtId="0" fontId="14" fillId="2" borderId="27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4" fillId="2" borderId="12" xfId="0" applyFont="1" applyFill="1" applyBorder="1" applyAlignment="1">
      <alignment/>
    </xf>
    <xf numFmtId="166" fontId="4" fillId="2" borderId="21" xfId="17" applyNumberFormat="1" applyFont="1" applyFill="1" applyBorder="1" applyAlignment="1">
      <alignment/>
    </xf>
    <xf numFmtId="166" fontId="4" fillId="2" borderId="15" xfId="17" applyNumberFormat="1" applyFont="1" applyFill="1" applyBorder="1" applyAlignment="1">
      <alignment horizontal="center"/>
    </xf>
    <xf numFmtId="173" fontId="3" fillId="0" borderId="0" xfId="19" applyNumberFormat="1" applyFont="1" applyAlignment="1">
      <alignment/>
    </xf>
    <xf numFmtId="165" fontId="3" fillId="2" borderId="0" xfId="17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69" fontId="13" fillId="2" borderId="3" xfId="15" applyNumberFormat="1" applyFont="1" applyFill="1" applyBorder="1" applyAlignment="1">
      <alignment/>
    </xf>
    <xf numFmtId="166" fontId="4" fillId="2" borderId="22" xfId="17" applyNumberFormat="1" applyFont="1" applyFill="1" applyBorder="1" applyAlignment="1">
      <alignment/>
    </xf>
    <xf numFmtId="165" fontId="3" fillId="2" borderId="3" xfId="17" applyNumberFormat="1" applyFont="1" applyFill="1" applyBorder="1" applyAlignment="1">
      <alignment/>
    </xf>
    <xf numFmtId="0" fontId="0" fillId="0" borderId="3" xfId="0" applyBorder="1" applyAlignment="1">
      <alignment/>
    </xf>
    <xf numFmtId="166" fontId="4" fillId="2" borderId="16" xfId="17" applyNumberFormat="1" applyFont="1" applyFill="1" applyBorder="1" applyAlignment="1">
      <alignment horizontal="center"/>
    </xf>
    <xf numFmtId="173" fontId="3" fillId="0" borderId="0" xfId="19" applyNumberFormat="1" applyFont="1" applyBorder="1" applyAlignment="1">
      <alignment/>
    </xf>
    <xf numFmtId="173" fontId="3" fillId="0" borderId="3" xfId="19" applyNumberFormat="1" applyFont="1" applyBorder="1" applyAlignment="1">
      <alignment/>
    </xf>
    <xf numFmtId="1" fontId="3" fillId="0" borderId="0" xfId="19" applyNumberFormat="1" applyFont="1" applyBorder="1" applyAlignment="1">
      <alignment/>
    </xf>
    <xf numFmtId="1" fontId="3" fillId="0" borderId="3" xfId="19" applyNumberFormat="1" applyFont="1" applyBorder="1" applyAlignment="1">
      <alignment/>
    </xf>
    <xf numFmtId="169" fontId="4" fillId="0" borderId="3" xfId="15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9" xfId="0" applyBorder="1" applyAlignment="1">
      <alignment/>
    </xf>
    <xf numFmtId="173" fontId="0" fillId="0" borderId="3" xfId="19" applyNumberFormat="1" applyBorder="1" applyAlignment="1">
      <alignment/>
    </xf>
    <xf numFmtId="0" fontId="0" fillId="0" borderId="25" xfId="0" applyBorder="1" applyAlignment="1">
      <alignment/>
    </xf>
    <xf numFmtId="166" fontId="4" fillId="2" borderId="9" xfId="17" applyNumberFormat="1" applyFont="1" applyFill="1" applyBorder="1" applyAlignment="1">
      <alignment/>
    </xf>
    <xf numFmtId="166" fontId="4" fillId="2" borderId="25" xfId="17" applyNumberFormat="1" applyFont="1" applyFill="1" applyBorder="1" applyAlignment="1">
      <alignment/>
    </xf>
    <xf numFmtId="0" fontId="4" fillId="2" borderId="26" xfId="0" applyFont="1" applyFill="1" applyBorder="1" applyAlignment="1">
      <alignment horizontal="left" indent="1"/>
    </xf>
    <xf numFmtId="0" fontId="4" fillId="2" borderId="9" xfId="0" applyFont="1" applyFill="1" applyBorder="1" applyAlignment="1">
      <alignment horizontal="left" indent="1"/>
    </xf>
    <xf numFmtId="0" fontId="4" fillId="2" borderId="26" xfId="0" applyFont="1" applyFill="1" applyBorder="1" applyAlignment="1">
      <alignment horizontal="left" indent="1"/>
    </xf>
    <xf numFmtId="169" fontId="4" fillId="2" borderId="9" xfId="15" applyNumberFormat="1" applyFont="1" applyFill="1" applyBorder="1" applyAlignment="1">
      <alignment/>
    </xf>
    <xf numFmtId="0" fontId="0" fillId="0" borderId="9" xfId="0" applyBorder="1" applyAlignment="1">
      <alignment horizontal="left" indent="1"/>
    </xf>
    <xf numFmtId="166" fontId="4" fillId="2" borderId="21" xfId="15" applyNumberFormat="1" applyFont="1" applyFill="1" applyBorder="1" applyAlignment="1">
      <alignment/>
    </xf>
    <xf numFmtId="169" fontId="4" fillId="2" borderId="21" xfId="15" applyNumberFormat="1" applyFont="1" applyFill="1" applyBorder="1" applyAlignment="1">
      <alignment horizontal="left"/>
    </xf>
    <xf numFmtId="169" fontId="4" fillId="2" borderId="22" xfId="15" applyNumberFormat="1" applyFont="1" applyFill="1" applyBorder="1" applyAlignment="1">
      <alignment horizontal="left"/>
    </xf>
    <xf numFmtId="166" fontId="4" fillId="2" borderId="22" xfId="15" applyNumberFormat="1" applyFont="1" applyFill="1" applyBorder="1" applyAlignment="1">
      <alignment/>
    </xf>
    <xf numFmtId="166" fontId="4" fillId="2" borderId="15" xfId="15" applyNumberFormat="1" applyFont="1" applyFill="1" applyBorder="1" applyAlignment="1">
      <alignment/>
    </xf>
    <xf numFmtId="166" fontId="0" fillId="0" borderId="0" xfId="0" applyNumberFormat="1" applyAlignment="1">
      <alignment/>
    </xf>
    <xf numFmtId="0" fontId="3" fillId="2" borderId="28" xfId="0" applyFont="1" applyFill="1" applyBorder="1" applyAlignment="1">
      <alignment horizontal="left" indent="1"/>
    </xf>
    <xf numFmtId="0" fontId="3" fillId="2" borderId="26" xfId="0" applyFont="1" applyFill="1" applyBorder="1" applyAlignment="1">
      <alignment horizontal="left" indent="3"/>
    </xf>
    <xf numFmtId="0" fontId="0" fillId="0" borderId="9" xfId="0" applyBorder="1" applyAlignment="1">
      <alignment horizontal="left" indent="3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6" fontId="4" fillId="0" borderId="0" xfId="0" applyNumberFormat="1" applyFont="1" applyBorder="1" applyAlignment="1">
      <alignment/>
    </xf>
    <xf numFmtId="166" fontId="4" fillId="0" borderId="3" xfId="0" applyNumberFormat="1" applyFont="1" applyBorder="1" applyAlignment="1">
      <alignment/>
    </xf>
    <xf numFmtId="0" fontId="12" fillId="0" borderId="12" xfId="0" applyFont="1" applyBorder="1" applyAlignment="1">
      <alignment/>
    </xf>
    <xf numFmtId="166" fontId="3" fillId="2" borderId="29" xfId="15" applyNumberFormat="1" applyFont="1" applyFill="1" applyBorder="1" applyAlignment="1">
      <alignment/>
    </xf>
    <xf numFmtId="166" fontId="3" fillId="2" borderId="30" xfId="15" applyNumberFormat="1" applyFont="1" applyFill="1" applyBorder="1" applyAlignment="1">
      <alignment/>
    </xf>
    <xf numFmtId="166" fontId="15" fillId="2" borderId="31" xfId="17" applyNumberFormat="1" applyFont="1" applyFill="1" applyBorder="1" applyAlignment="1">
      <alignment/>
    </xf>
    <xf numFmtId="166" fontId="15" fillId="2" borderId="32" xfId="17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166" fontId="3" fillId="2" borderId="33" xfId="17" applyNumberFormat="1" applyFont="1" applyFill="1" applyBorder="1" applyAlignment="1">
      <alignment/>
    </xf>
    <xf numFmtId="169" fontId="4" fillId="2" borderId="25" xfId="15" applyNumberFormat="1" applyFont="1" applyFill="1" applyBorder="1" applyAlignment="1">
      <alignment/>
    </xf>
    <xf numFmtId="166" fontId="3" fillId="2" borderId="34" xfId="17" applyNumberFormat="1" applyFont="1" applyFill="1" applyBorder="1" applyAlignment="1">
      <alignment/>
    </xf>
    <xf numFmtId="166" fontId="3" fillId="2" borderId="35" xfId="17" applyNumberFormat="1" applyFont="1" applyFill="1" applyBorder="1" applyAlignment="1">
      <alignment/>
    </xf>
    <xf numFmtId="0" fontId="0" fillId="0" borderId="35" xfId="0" applyBorder="1" applyAlignment="1">
      <alignment/>
    </xf>
    <xf numFmtId="0" fontId="12" fillId="0" borderId="36" xfId="0" applyFont="1" applyBorder="1" applyAlignment="1">
      <alignment/>
    </xf>
    <xf numFmtId="0" fontId="12" fillId="0" borderId="37" xfId="0" applyFont="1" applyBorder="1" applyAlignment="1">
      <alignment/>
    </xf>
    <xf numFmtId="166" fontId="3" fillId="2" borderId="38" xfId="17" applyNumberFormat="1" applyFont="1" applyFill="1" applyBorder="1" applyAlignment="1">
      <alignment/>
    </xf>
    <xf numFmtId="166" fontId="3" fillId="2" borderId="39" xfId="17" applyNumberFormat="1" applyFont="1" applyFill="1" applyBorder="1" applyAlignment="1">
      <alignment/>
    </xf>
    <xf numFmtId="166" fontId="4" fillId="2" borderId="16" xfId="15" applyNumberFormat="1" applyFont="1" applyFill="1" applyBorder="1" applyAlignment="1">
      <alignment/>
    </xf>
    <xf numFmtId="0" fontId="3" fillId="0" borderId="26" xfId="0" applyFont="1" applyBorder="1" applyAlignment="1">
      <alignment/>
    </xf>
    <xf numFmtId="166" fontId="3" fillId="2" borderId="38" xfId="17" applyNumberFormat="1" applyFont="1" applyFill="1" applyBorder="1" applyAlignment="1">
      <alignment horizontal="center"/>
    </xf>
    <xf numFmtId="166" fontId="3" fillId="2" borderId="39" xfId="17" applyNumberFormat="1" applyFont="1" applyFill="1" applyBorder="1" applyAlignment="1">
      <alignment horizontal="center"/>
    </xf>
    <xf numFmtId="0" fontId="4" fillId="2" borderId="27" xfId="0" applyFont="1" applyFill="1" applyBorder="1" applyAlignment="1">
      <alignment horizontal="left" indent="1"/>
    </xf>
    <xf numFmtId="0" fontId="3" fillId="2" borderId="9" xfId="0" applyFont="1" applyFill="1" applyBorder="1" applyAlignment="1">
      <alignment horizontal="left" indent="3"/>
    </xf>
    <xf numFmtId="166" fontId="4" fillId="2" borderId="24" xfId="15" applyNumberFormat="1" applyFont="1" applyFill="1" applyBorder="1" applyAlignment="1">
      <alignment/>
    </xf>
    <xf numFmtId="0" fontId="4" fillId="2" borderId="8" xfId="0" applyFont="1" applyFill="1" applyBorder="1" applyAlignment="1">
      <alignment horizontal="left" indent="1"/>
    </xf>
    <xf numFmtId="49" fontId="4" fillId="2" borderId="40" xfId="0" applyNumberFormat="1" applyFont="1" applyFill="1" applyBorder="1" applyAlignment="1">
      <alignment horizontal="left" indent="1"/>
    </xf>
    <xf numFmtId="49" fontId="4" fillId="2" borderId="21" xfId="0" applyNumberFormat="1" applyFont="1" applyFill="1" applyBorder="1" applyAlignment="1">
      <alignment horizontal="left"/>
    </xf>
    <xf numFmtId="0" fontId="8" fillId="0" borderId="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6" fontId="4" fillId="0" borderId="0" xfId="17" applyNumberFormat="1" applyFont="1" applyFill="1" applyBorder="1" applyAlignment="1">
      <alignment horizontal="center"/>
    </xf>
    <xf numFmtId="169" fontId="4" fillId="0" borderId="0" xfId="15" applyNumberFormat="1" applyFont="1" applyFill="1" applyBorder="1" applyAlignment="1">
      <alignment/>
    </xf>
    <xf numFmtId="166" fontId="4" fillId="0" borderId="13" xfId="17" applyNumberFormat="1" applyFont="1" applyFill="1" applyBorder="1" applyAlignment="1">
      <alignment/>
    </xf>
    <xf numFmtId="166" fontId="4" fillId="0" borderId="15" xfId="17" applyNumberFormat="1" applyFont="1" applyFill="1" applyBorder="1" applyAlignment="1">
      <alignment/>
    </xf>
    <xf numFmtId="166" fontId="4" fillId="0" borderId="15" xfId="17" applyNumberFormat="1" applyFont="1" applyFill="1" applyBorder="1" applyAlignment="1">
      <alignment/>
    </xf>
    <xf numFmtId="166" fontId="4" fillId="0" borderId="0" xfId="15" applyNumberFormat="1" applyFont="1" applyFill="1" applyBorder="1" applyAlignment="1">
      <alignment/>
    </xf>
    <xf numFmtId="166" fontId="4" fillId="0" borderId="0" xfId="17" applyNumberFormat="1" applyFont="1" applyFill="1" applyBorder="1" applyAlignment="1">
      <alignment/>
    </xf>
    <xf numFmtId="166" fontId="3" fillId="0" borderId="29" xfId="15" applyNumberFormat="1" applyFont="1" applyFill="1" applyBorder="1" applyAlignment="1">
      <alignment/>
    </xf>
    <xf numFmtId="166" fontId="3" fillId="0" borderId="33" xfId="17" applyNumberFormat="1" applyFont="1" applyFill="1" applyBorder="1" applyAlignment="1">
      <alignment/>
    </xf>
    <xf numFmtId="166" fontId="4" fillId="0" borderId="21" xfId="15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44" fontId="4" fillId="0" borderId="18" xfId="17" applyFont="1" applyFill="1" applyBorder="1" applyAlignment="1">
      <alignment/>
    </xf>
    <xf numFmtId="166" fontId="4" fillId="0" borderId="13" xfId="17" applyNumberFormat="1" applyFont="1" applyFill="1" applyBorder="1" applyAlignment="1">
      <alignment/>
    </xf>
    <xf numFmtId="166" fontId="4" fillId="0" borderId="10" xfId="17" applyNumberFormat="1" applyFont="1" applyFill="1" applyBorder="1" applyAlignment="1">
      <alignment/>
    </xf>
    <xf numFmtId="166" fontId="4" fillId="0" borderId="9" xfId="17" applyNumberFormat="1" applyFont="1" applyFill="1" applyBorder="1" applyAlignment="1">
      <alignment/>
    </xf>
    <xf numFmtId="166" fontId="4" fillId="0" borderId="18" xfId="15" applyNumberFormat="1" applyFont="1" applyFill="1" applyBorder="1" applyAlignment="1">
      <alignment/>
    </xf>
    <xf numFmtId="166" fontId="15" fillId="0" borderId="31" xfId="17" applyNumberFormat="1" applyFont="1" applyFill="1" applyBorder="1" applyAlignment="1">
      <alignment/>
    </xf>
    <xf numFmtId="166" fontId="0" fillId="0" borderId="0" xfId="0" applyNumberFormat="1" applyFill="1" applyAlignment="1">
      <alignment/>
    </xf>
    <xf numFmtId="166" fontId="3" fillId="0" borderId="38" xfId="17" applyNumberFormat="1" applyFont="1" applyFill="1" applyBorder="1" applyAlignment="1">
      <alignment horizontal="center"/>
    </xf>
    <xf numFmtId="166" fontId="3" fillId="0" borderId="9" xfId="15" applyNumberFormat="1" applyFont="1" applyFill="1" applyBorder="1" applyAlignment="1">
      <alignment/>
    </xf>
    <xf numFmtId="6" fontId="3" fillId="0" borderId="10" xfId="0" applyNumberFormat="1" applyFont="1" applyFill="1" applyBorder="1" applyAlignment="1">
      <alignment horizontal="center"/>
    </xf>
    <xf numFmtId="44" fontId="4" fillId="0" borderId="2" xfId="17" applyFont="1" applyFill="1" applyBorder="1" applyAlignment="1">
      <alignment/>
    </xf>
    <xf numFmtId="0" fontId="8" fillId="0" borderId="6" xfId="0" applyFont="1" applyFill="1" applyBorder="1" applyAlignment="1">
      <alignment horizontal="center"/>
    </xf>
    <xf numFmtId="6" fontId="3" fillId="0" borderId="11" xfId="0" applyNumberFormat="1" applyFont="1" applyFill="1" applyBorder="1" applyAlignment="1">
      <alignment horizontal="center"/>
    </xf>
    <xf numFmtId="166" fontId="4" fillId="0" borderId="25" xfId="17" applyNumberFormat="1" applyFont="1" applyFill="1" applyBorder="1" applyAlignment="1">
      <alignment/>
    </xf>
    <xf numFmtId="0" fontId="8" fillId="0" borderId="41" xfId="0" applyFont="1" applyFill="1" applyBorder="1" applyAlignment="1">
      <alignment horizontal="center"/>
    </xf>
    <xf numFmtId="166" fontId="4" fillId="2" borderId="0" xfId="15" applyNumberFormat="1" applyFont="1" applyFill="1" applyBorder="1" applyAlignment="1">
      <alignment/>
    </xf>
    <xf numFmtId="166" fontId="4" fillId="2" borderId="42" xfId="15" applyNumberFormat="1" applyFont="1" applyFill="1" applyBorder="1" applyAlignment="1">
      <alignment/>
    </xf>
    <xf numFmtId="44" fontId="4" fillId="2" borderId="43" xfId="17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166" fontId="4" fillId="2" borderId="44" xfId="15" applyNumberFormat="1" applyFont="1" applyFill="1" applyBorder="1" applyAlignment="1">
      <alignment/>
    </xf>
    <xf numFmtId="166" fontId="4" fillId="2" borderId="25" xfId="15" applyNumberFormat="1" applyFont="1" applyFill="1" applyBorder="1" applyAlignment="1">
      <alignment/>
    </xf>
    <xf numFmtId="44" fontId="4" fillId="2" borderId="45" xfId="17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166" fontId="3" fillId="2" borderId="16" xfId="15" applyNumberFormat="1" applyFont="1" applyFill="1" applyBorder="1" applyAlignment="1">
      <alignment/>
    </xf>
    <xf numFmtId="169" fontId="4" fillId="2" borderId="3" xfId="15" applyNumberFormat="1" applyFont="1" applyFill="1" applyBorder="1" applyAlignment="1">
      <alignment/>
    </xf>
    <xf numFmtId="169" fontId="3" fillId="2" borderId="3" xfId="15" applyNumberFormat="1" applyFont="1" applyFill="1" applyBorder="1" applyAlignment="1">
      <alignment/>
    </xf>
    <xf numFmtId="44" fontId="4" fillId="0" borderId="19" xfId="17" applyFont="1" applyFill="1" applyBorder="1" applyAlignment="1">
      <alignment/>
    </xf>
    <xf numFmtId="0" fontId="3" fillId="0" borderId="46" xfId="0" applyFont="1" applyBorder="1" applyAlignment="1">
      <alignment/>
    </xf>
    <xf numFmtId="0" fontId="16" fillId="0" borderId="23" xfId="0" applyFont="1" applyBorder="1" applyAlignment="1">
      <alignment/>
    </xf>
    <xf numFmtId="0" fontId="8" fillId="2" borderId="47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179" fontId="4" fillId="0" borderId="0" xfId="0" applyNumberFormat="1" applyFont="1" applyBorder="1" applyAlignment="1">
      <alignment/>
    </xf>
    <xf numFmtId="179" fontId="4" fillId="0" borderId="3" xfId="0" applyNumberFormat="1" applyFont="1" applyBorder="1" applyAlignment="1">
      <alignment/>
    </xf>
    <xf numFmtId="179" fontId="4" fillId="0" borderId="22" xfId="0" applyNumberFormat="1" applyFont="1" applyBorder="1" applyAlignment="1">
      <alignment/>
    </xf>
    <xf numFmtId="179" fontId="3" fillId="0" borderId="38" xfId="0" applyNumberFormat="1" applyFont="1" applyFill="1" applyBorder="1" applyAlignment="1">
      <alignment/>
    </xf>
    <xf numFmtId="179" fontId="3" fillId="0" borderId="39" xfId="0" applyNumberFormat="1" applyFont="1" applyFill="1" applyBorder="1" applyAlignment="1">
      <alignment/>
    </xf>
    <xf numFmtId="0" fontId="4" fillId="0" borderId="26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79" fontId="4" fillId="0" borderId="13" xfId="0" applyNumberFormat="1" applyFont="1" applyBorder="1" applyAlignment="1">
      <alignment/>
    </xf>
    <xf numFmtId="179" fontId="4" fillId="0" borderId="14" xfId="0" applyNumberFormat="1" applyFont="1" applyBorder="1" applyAlignment="1">
      <alignment/>
    </xf>
    <xf numFmtId="179" fontId="4" fillId="0" borderId="13" xfId="0" applyNumberFormat="1" applyFont="1" applyFill="1" applyBorder="1" applyAlignment="1">
      <alignment/>
    </xf>
    <xf numFmtId="179" fontId="4" fillId="0" borderId="14" xfId="0" applyNumberFormat="1" applyFont="1" applyFill="1" applyBorder="1" applyAlignment="1">
      <alignment/>
    </xf>
    <xf numFmtId="179" fontId="3" fillId="0" borderId="13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179" fontId="4" fillId="2" borderId="0" xfId="15" applyNumberFormat="1" applyFont="1" applyFill="1" applyBorder="1" applyAlignment="1">
      <alignment/>
    </xf>
    <xf numFmtId="179" fontId="4" fillId="2" borderId="3" xfId="15" applyNumberFormat="1" applyFont="1" applyFill="1" applyBorder="1" applyAlignment="1">
      <alignment/>
    </xf>
    <xf numFmtId="179" fontId="4" fillId="2" borderId="15" xfId="17" applyNumberFormat="1" applyFont="1" applyFill="1" applyBorder="1" applyAlignment="1">
      <alignment/>
    </xf>
    <xf numFmtId="179" fontId="4" fillId="2" borderId="16" xfId="17" applyNumberFormat="1" applyFont="1" applyFill="1" applyBorder="1" applyAlignment="1">
      <alignment/>
    </xf>
    <xf numFmtId="179" fontId="4" fillId="2" borderId="0" xfId="17" applyNumberFormat="1" applyFont="1" applyFill="1" applyBorder="1" applyAlignment="1">
      <alignment/>
    </xf>
    <xf numFmtId="179" fontId="4" fillId="2" borderId="3" xfId="17" applyNumberFormat="1" applyFont="1" applyFill="1" applyBorder="1" applyAlignment="1">
      <alignment/>
    </xf>
    <xf numFmtId="179" fontId="4" fillId="2" borderId="13" xfId="17" applyNumberFormat="1" applyFont="1" applyFill="1" applyBorder="1" applyAlignment="1">
      <alignment/>
    </xf>
    <xf numFmtId="179" fontId="4" fillId="2" borderId="14" xfId="17" applyNumberFormat="1" applyFont="1" applyFill="1" applyBorder="1" applyAlignment="1">
      <alignment/>
    </xf>
    <xf numFmtId="179" fontId="4" fillId="2" borderId="21" xfId="15" applyNumberFormat="1" applyFont="1" applyFill="1" applyBorder="1" applyAlignment="1">
      <alignment/>
    </xf>
    <xf numFmtId="179" fontId="4" fillId="2" borderId="22" xfId="15" applyNumberFormat="1" applyFont="1" applyFill="1" applyBorder="1" applyAlignment="1">
      <alignment/>
    </xf>
    <xf numFmtId="179" fontId="4" fillId="2" borderId="0" xfId="17" applyNumberFormat="1" applyFont="1" applyFill="1" applyBorder="1" applyAlignment="1">
      <alignment horizontal="right"/>
    </xf>
    <xf numFmtId="179" fontId="4" fillId="2" borderId="3" xfId="17" applyNumberFormat="1" applyFont="1" applyFill="1" applyBorder="1" applyAlignment="1">
      <alignment horizontal="right"/>
    </xf>
    <xf numFmtId="179" fontId="4" fillId="2" borderId="0" xfId="15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1" fontId="0" fillId="0" borderId="0" xfId="0" applyNumberFormat="1" applyFill="1" applyAlignment="1">
      <alignment/>
    </xf>
    <xf numFmtId="179" fontId="4" fillId="0" borderId="0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66" fontId="3" fillId="0" borderId="0" xfId="15" applyNumberFormat="1" applyFont="1" applyFill="1" applyBorder="1" applyAlignment="1">
      <alignment/>
    </xf>
    <xf numFmtId="166" fontId="5" fillId="3" borderId="31" xfId="17" applyNumberFormat="1" applyFont="1" applyFill="1" applyBorder="1" applyAlignment="1">
      <alignment/>
    </xf>
    <xf numFmtId="166" fontId="5" fillId="3" borderId="48" xfId="17" applyNumberFormat="1" applyFont="1" applyFill="1" applyBorder="1" applyAlignment="1">
      <alignment/>
    </xf>
    <xf numFmtId="166" fontId="5" fillId="3" borderId="49" xfId="17" applyNumberFormat="1" applyFont="1" applyFill="1" applyBorder="1" applyAlignment="1">
      <alignment/>
    </xf>
    <xf numFmtId="166" fontId="5" fillId="3" borderId="38" xfId="17" applyNumberFormat="1" applyFont="1" applyFill="1" applyBorder="1" applyAlignment="1">
      <alignment/>
    </xf>
    <xf numFmtId="166" fontId="5" fillId="3" borderId="39" xfId="17" applyNumberFormat="1" applyFont="1" applyFill="1" applyBorder="1" applyAlignment="1">
      <alignment/>
    </xf>
    <xf numFmtId="0" fontId="3" fillId="4" borderId="7" xfId="0" applyFont="1" applyFill="1" applyBorder="1" applyAlignment="1">
      <alignment/>
    </xf>
    <xf numFmtId="0" fontId="4" fillId="4" borderId="23" xfId="0" applyFont="1" applyFill="1" applyBorder="1" applyAlignment="1">
      <alignment/>
    </xf>
    <xf numFmtId="0" fontId="4" fillId="4" borderId="24" xfId="0" applyFont="1" applyFill="1" applyBorder="1" applyAlignment="1">
      <alignment/>
    </xf>
    <xf numFmtId="0" fontId="9" fillId="4" borderId="27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3" fillId="4" borderId="28" xfId="0" applyFont="1" applyFill="1" applyBorder="1" applyAlignment="1">
      <alignment/>
    </xf>
    <xf numFmtId="164" fontId="4" fillId="4" borderId="0" xfId="15" applyNumberFormat="1" applyFont="1" applyFill="1" applyBorder="1" applyAlignment="1">
      <alignment/>
    </xf>
    <xf numFmtId="164" fontId="4" fillId="4" borderId="3" xfId="15" applyNumberFormat="1" applyFont="1" applyFill="1" applyBorder="1" applyAlignment="1">
      <alignment/>
    </xf>
    <xf numFmtId="179" fontId="4" fillId="4" borderId="23" xfId="0" applyNumberFormat="1" applyFont="1" applyFill="1" applyBorder="1" applyAlignment="1">
      <alignment/>
    </xf>
    <xf numFmtId="179" fontId="4" fillId="4" borderId="24" xfId="0" applyNumberFormat="1" applyFont="1" applyFill="1" applyBorder="1" applyAlignment="1">
      <alignment/>
    </xf>
    <xf numFmtId="179" fontId="4" fillId="4" borderId="0" xfId="0" applyNumberFormat="1" applyFont="1" applyFill="1" applyBorder="1" applyAlignment="1">
      <alignment/>
    </xf>
    <xf numFmtId="179" fontId="4" fillId="4" borderId="3" xfId="0" applyNumberFormat="1" applyFont="1" applyFill="1" applyBorder="1" applyAlignment="1">
      <alignment/>
    </xf>
    <xf numFmtId="0" fontId="10" fillId="4" borderId="12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179" fontId="3" fillId="4" borderId="0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/>
    </xf>
    <xf numFmtId="179" fontId="4" fillId="4" borderId="0" xfId="0" applyNumberFormat="1" applyFont="1" applyFill="1" applyBorder="1" applyAlignment="1">
      <alignment/>
    </xf>
    <xf numFmtId="179" fontId="4" fillId="4" borderId="3" xfId="0" applyNumberFormat="1" applyFont="1" applyFill="1" applyBorder="1" applyAlignment="1">
      <alignment/>
    </xf>
    <xf numFmtId="0" fontId="10" fillId="4" borderId="46" xfId="0" applyFont="1" applyFill="1" applyBorder="1" applyAlignment="1">
      <alignment horizontal="left" indent="1"/>
    </xf>
    <xf numFmtId="0" fontId="10" fillId="4" borderId="23" xfId="0" applyFont="1" applyFill="1" applyBorder="1" applyAlignment="1">
      <alignment horizontal="left"/>
    </xf>
    <xf numFmtId="0" fontId="10" fillId="4" borderId="40" xfId="0" applyFont="1" applyFill="1" applyBorder="1" applyAlignment="1">
      <alignment horizontal="left" indent="1"/>
    </xf>
    <xf numFmtId="0" fontId="4" fillId="4" borderId="21" xfId="0" applyFont="1" applyFill="1" applyBorder="1" applyAlignment="1">
      <alignment/>
    </xf>
    <xf numFmtId="0" fontId="3" fillId="4" borderId="12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49" fontId="3" fillId="4" borderId="12" xfId="0" applyNumberFormat="1" applyFont="1" applyFill="1" applyBorder="1" applyAlignment="1">
      <alignment horizontal="left" indent="1"/>
    </xf>
    <xf numFmtId="49" fontId="4" fillId="4" borderId="0" xfId="0" applyNumberFormat="1" applyFont="1" applyFill="1" applyBorder="1" applyAlignment="1">
      <alignment horizontal="left"/>
    </xf>
    <xf numFmtId="166" fontId="4" fillId="4" borderId="0" xfId="15" applyNumberFormat="1" applyFont="1" applyFill="1" applyBorder="1" applyAlignment="1">
      <alignment/>
    </xf>
    <xf numFmtId="166" fontId="4" fillId="4" borderId="3" xfId="15" applyNumberFormat="1" applyFont="1" applyFill="1" applyBorder="1" applyAlignment="1">
      <alignment/>
    </xf>
    <xf numFmtId="0" fontId="3" fillId="4" borderId="50" xfId="0" applyFont="1" applyFill="1" applyBorder="1" applyAlignment="1">
      <alignment/>
    </xf>
    <xf numFmtId="169" fontId="4" fillId="4" borderId="0" xfId="15" applyNumberFormat="1" applyFont="1" applyFill="1" applyBorder="1" applyAlignment="1">
      <alignment/>
    </xf>
    <xf numFmtId="0" fontId="3" fillId="4" borderId="27" xfId="0" applyFont="1" applyFill="1" applyBorder="1" applyAlignment="1">
      <alignment/>
    </xf>
    <xf numFmtId="166" fontId="5" fillId="3" borderId="51" xfId="0" applyNumberFormat="1" applyFont="1" applyFill="1" applyBorder="1" applyAlignment="1">
      <alignment/>
    </xf>
    <xf numFmtId="166" fontId="5" fillId="3" borderId="52" xfId="0" applyNumberFormat="1" applyFont="1" applyFill="1" applyBorder="1" applyAlignment="1">
      <alignment/>
    </xf>
    <xf numFmtId="166" fontId="5" fillId="3" borderId="37" xfId="0" applyNumberFormat="1" applyFont="1" applyFill="1" applyBorder="1" applyAlignment="1">
      <alignment/>
    </xf>
    <xf numFmtId="166" fontId="5" fillId="3" borderId="53" xfId="0" applyNumberFormat="1" applyFont="1" applyFill="1" applyBorder="1" applyAlignment="1">
      <alignment/>
    </xf>
    <xf numFmtId="166" fontId="5" fillId="3" borderId="13" xfId="17" applyNumberFormat="1" applyFont="1" applyFill="1" applyBorder="1" applyAlignment="1">
      <alignment/>
    </xf>
    <xf numFmtId="166" fontId="5" fillId="3" borderId="14" xfId="17" applyNumberFormat="1" applyFont="1" applyFill="1" applyBorder="1" applyAlignment="1">
      <alignment/>
    </xf>
    <xf numFmtId="166" fontId="5" fillId="3" borderId="23" xfId="15" applyNumberFormat="1" applyFont="1" applyFill="1" applyBorder="1" applyAlignment="1">
      <alignment/>
    </xf>
    <xf numFmtId="166" fontId="5" fillId="3" borderId="24" xfId="15" applyNumberFormat="1" applyFont="1" applyFill="1" applyBorder="1" applyAlignment="1">
      <alignment/>
    </xf>
    <xf numFmtId="166" fontId="5" fillId="3" borderId="9" xfId="15" applyNumberFormat="1" applyFont="1" applyFill="1" applyBorder="1" applyAlignment="1">
      <alignment/>
    </xf>
    <xf numFmtId="166" fontId="5" fillId="3" borderId="25" xfId="15" applyNumberFormat="1" applyFont="1" applyFill="1" applyBorder="1" applyAlignment="1">
      <alignment/>
    </xf>
    <xf numFmtId="0" fontId="3" fillId="2" borderId="20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 indent="1"/>
    </xf>
    <xf numFmtId="0" fontId="3" fillId="2" borderId="12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 indent="10"/>
    </xf>
    <xf numFmtId="0" fontId="4" fillId="2" borderId="0" xfId="0" applyFont="1" applyFill="1" applyBorder="1" applyAlignment="1">
      <alignment horizontal="left" indent="10"/>
    </xf>
    <xf numFmtId="0" fontId="3" fillId="2" borderId="0" xfId="0" applyFont="1" applyFill="1" applyBorder="1" applyAlignment="1">
      <alignment horizontal="left" indent="8"/>
    </xf>
    <xf numFmtId="0" fontId="3" fillId="2" borderId="26" xfId="0" applyFont="1" applyFill="1" applyBorder="1" applyAlignment="1">
      <alignment horizontal="left" indent="3"/>
    </xf>
    <xf numFmtId="0" fontId="0" fillId="0" borderId="9" xfId="0" applyBorder="1" applyAlignment="1">
      <alignment horizontal="left" indent="3"/>
    </xf>
    <xf numFmtId="0" fontId="0" fillId="0" borderId="0" xfId="0" applyBorder="1" applyAlignment="1">
      <alignment horizontal="left" indent="10"/>
    </xf>
    <xf numFmtId="0" fontId="4" fillId="2" borderId="12" xfId="0" applyFont="1" applyFill="1" applyBorder="1" applyAlignment="1">
      <alignment horizontal="left" indent="5"/>
    </xf>
    <xf numFmtId="0" fontId="4" fillId="2" borderId="0" xfId="0" applyFont="1" applyFill="1" applyBorder="1" applyAlignment="1">
      <alignment horizontal="left" indent="5"/>
    </xf>
    <xf numFmtId="0" fontId="3" fillId="2" borderId="28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 indent="1"/>
    </xf>
    <xf numFmtId="0" fontId="4" fillId="2" borderId="28" xfId="0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left" indent="1"/>
    </xf>
    <xf numFmtId="0" fontId="3" fillId="2" borderId="12" xfId="0" applyFont="1" applyFill="1" applyBorder="1" applyAlignment="1">
      <alignment horizontal="left" indent="3"/>
    </xf>
    <xf numFmtId="0" fontId="3" fillId="2" borderId="0" xfId="0" applyFont="1" applyFill="1" applyBorder="1" applyAlignment="1">
      <alignment horizontal="left" indent="3"/>
    </xf>
    <xf numFmtId="0" fontId="4" fillId="2" borderId="12" xfId="0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1" fillId="3" borderId="54" xfId="0" applyFont="1" applyFill="1" applyBorder="1" applyAlignment="1">
      <alignment horizontal="right"/>
    </xf>
    <xf numFmtId="0" fontId="1" fillId="3" borderId="55" xfId="0" applyFont="1" applyFill="1" applyBorder="1" applyAlignment="1">
      <alignment horizontal="right"/>
    </xf>
    <xf numFmtId="0" fontId="1" fillId="3" borderId="56" xfId="0" applyFont="1" applyFill="1" applyBorder="1" applyAlignment="1">
      <alignment horizontal="right"/>
    </xf>
    <xf numFmtId="0" fontId="7" fillId="3" borderId="57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7" fillId="3" borderId="58" xfId="0" applyFont="1" applyFill="1" applyBorder="1" applyAlignment="1">
      <alignment horizontal="left"/>
    </xf>
    <xf numFmtId="0" fontId="2" fillId="3" borderId="59" xfId="0" applyFont="1" applyFill="1" applyBorder="1" applyAlignment="1">
      <alignment horizontal="left"/>
    </xf>
    <xf numFmtId="0" fontId="0" fillId="3" borderId="60" xfId="0" applyFill="1" applyBorder="1" applyAlignment="1">
      <alignment/>
    </xf>
    <xf numFmtId="0" fontId="0" fillId="3" borderId="45" xfId="0" applyFill="1" applyBorder="1" applyAlignment="1">
      <alignment/>
    </xf>
    <xf numFmtId="0" fontId="4" fillId="2" borderId="0" xfId="0" applyFont="1" applyFill="1" applyBorder="1" applyAlignment="1">
      <alignment horizontal="left" indent="1"/>
    </xf>
    <xf numFmtId="0" fontId="3" fillId="2" borderId="20" xfId="0" applyFont="1" applyFill="1" applyBorder="1" applyAlignment="1">
      <alignment horizontal="left" indent="8"/>
    </xf>
    <xf numFmtId="0" fontId="3" fillId="2" borderId="0" xfId="0" applyFont="1" applyFill="1" applyBorder="1" applyAlignment="1">
      <alignment horizontal="left" indent="8"/>
    </xf>
    <xf numFmtId="0" fontId="0" fillId="0" borderId="0" xfId="0" applyBorder="1" applyAlignment="1">
      <alignment horizontal="left" indent="3"/>
    </xf>
    <xf numFmtId="0" fontId="0" fillId="0" borderId="0" xfId="0" applyBorder="1" applyAlignment="1">
      <alignment horizontal="left"/>
    </xf>
    <xf numFmtId="0" fontId="10" fillId="4" borderId="12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/>
    </xf>
    <xf numFmtId="0" fontId="3" fillId="4" borderId="12" xfId="0" applyFont="1" applyFill="1" applyBorder="1" applyAlignment="1">
      <alignment/>
    </xf>
    <xf numFmtId="0" fontId="0" fillId="4" borderId="0" xfId="0" applyFill="1" applyBorder="1" applyAlignment="1">
      <alignment/>
    </xf>
    <xf numFmtId="0" fontId="3" fillId="2" borderId="12" xfId="0" applyFont="1" applyFill="1" applyBorder="1" applyAlignment="1">
      <alignment horizontal="left" indent="1"/>
    </xf>
    <xf numFmtId="0" fontId="0" fillId="4" borderId="0" xfId="0" applyFill="1" applyAlignment="1">
      <alignment/>
    </xf>
    <xf numFmtId="0" fontId="10" fillId="4" borderId="46" xfId="0" applyFont="1" applyFill="1" applyBorder="1" applyAlignment="1">
      <alignment horizontal="left"/>
    </xf>
    <xf numFmtId="0" fontId="11" fillId="4" borderId="23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left"/>
    </xf>
    <xf numFmtId="0" fontId="4" fillId="2" borderId="50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 indent="1"/>
    </xf>
    <xf numFmtId="0" fontId="12" fillId="0" borderId="0" xfId="0" applyFont="1" applyBorder="1" applyAlignment="1">
      <alignment horizontal="left" indent="1"/>
    </xf>
    <xf numFmtId="0" fontId="12" fillId="0" borderId="0" xfId="0" applyFont="1" applyBorder="1" applyAlignment="1">
      <alignment horizontal="left"/>
    </xf>
    <xf numFmtId="0" fontId="3" fillId="2" borderId="26" xfId="0" applyFont="1" applyFill="1" applyBorder="1" applyAlignment="1">
      <alignment horizontal="left" indent="4"/>
    </xf>
    <xf numFmtId="0" fontId="3" fillId="2" borderId="9" xfId="0" applyFont="1" applyFill="1" applyBorder="1" applyAlignment="1">
      <alignment horizontal="left" indent="4"/>
    </xf>
    <xf numFmtId="0" fontId="4" fillId="2" borderId="26" xfId="0" applyFont="1" applyFill="1" applyBorder="1" applyAlignment="1">
      <alignment horizontal="left" indent="10"/>
    </xf>
    <xf numFmtId="0" fontId="0" fillId="0" borderId="9" xfId="0" applyBorder="1" applyAlignment="1">
      <alignment horizontal="left" indent="10"/>
    </xf>
    <xf numFmtId="0" fontId="4" fillId="2" borderId="61" xfId="0" applyFont="1" applyFill="1" applyBorder="1" applyAlignment="1">
      <alignment horizontal="left" indent="1"/>
    </xf>
    <xf numFmtId="0" fontId="4" fillId="2" borderId="1" xfId="0" applyFont="1" applyFill="1" applyBorder="1" applyAlignment="1">
      <alignment horizontal="left" indent="1"/>
    </xf>
    <xf numFmtId="0" fontId="4" fillId="2" borderId="9" xfId="0" applyFont="1" applyFill="1" applyBorder="1" applyAlignment="1">
      <alignment horizontal="left" indent="1"/>
    </xf>
    <xf numFmtId="0" fontId="4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85FFF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showGridLines="0" workbookViewId="0" topLeftCell="A1">
      <selection activeCell="B2" sqref="B2:M2"/>
    </sheetView>
  </sheetViews>
  <sheetFormatPr defaultColWidth="9.140625" defaultRowHeight="12.75"/>
  <cols>
    <col min="1" max="1" width="5.28125" style="0" customWidth="1"/>
    <col min="2" max="2" width="5.7109375" style="0" customWidth="1"/>
    <col min="3" max="3" width="35.140625" style="0" customWidth="1"/>
    <col min="4" max="5" width="11.00390625" style="0" customWidth="1"/>
    <col min="6" max="13" width="11.00390625" style="91" customWidth="1"/>
  </cols>
  <sheetData>
    <row r="1" ht="13.5" thickBot="1"/>
    <row r="2" spans="2:13" ht="23.25">
      <c r="B2" s="343" t="s">
        <v>351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5"/>
    </row>
    <row r="3" spans="2:13" ht="21">
      <c r="B3" s="346" t="s">
        <v>117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8"/>
    </row>
    <row r="4" spans="2:13" ht="16.5" thickBot="1">
      <c r="B4" s="349" t="s">
        <v>118</v>
      </c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1"/>
    </row>
    <row r="5" spans="2:13" ht="12.75">
      <c r="B5" s="11"/>
      <c r="C5" s="12"/>
      <c r="D5" s="9" t="s">
        <v>0</v>
      </c>
      <c r="E5" s="9" t="s">
        <v>1</v>
      </c>
      <c r="F5" s="197" t="s">
        <v>2</v>
      </c>
      <c r="G5" s="197" t="s">
        <v>3</v>
      </c>
      <c r="H5" s="197" t="s">
        <v>4</v>
      </c>
      <c r="I5" s="197" t="s">
        <v>5</v>
      </c>
      <c r="J5" s="197" t="s">
        <v>6</v>
      </c>
      <c r="K5" s="197" t="s">
        <v>7</v>
      </c>
      <c r="L5" s="197" t="s">
        <v>8</v>
      </c>
      <c r="M5" s="221" t="s">
        <v>9</v>
      </c>
    </row>
    <row r="6" spans="2:13" ht="13.5" thickBot="1">
      <c r="B6" s="13"/>
      <c r="C6" s="14"/>
      <c r="D6" s="15" t="s">
        <v>119</v>
      </c>
      <c r="E6" s="15" t="s">
        <v>119</v>
      </c>
      <c r="F6" s="198" t="s">
        <v>119</v>
      </c>
      <c r="G6" s="198" t="s">
        <v>119</v>
      </c>
      <c r="H6" s="198" t="s">
        <v>119</v>
      </c>
      <c r="I6" s="198" t="s">
        <v>119</v>
      </c>
      <c r="J6" s="198" t="s">
        <v>119</v>
      </c>
      <c r="K6" s="198" t="s">
        <v>119</v>
      </c>
      <c r="L6" s="198" t="s">
        <v>119</v>
      </c>
      <c r="M6" s="232" t="s">
        <v>119</v>
      </c>
    </row>
    <row r="7" spans="2:13" ht="12.75">
      <c r="B7" s="280" t="s">
        <v>26</v>
      </c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2"/>
    </row>
    <row r="8" spans="2:13" ht="12.75">
      <c r="B8" s="283" t="s">
        <v>121</v>
      </c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5"/>
    </row>
    <row r="9" spans="2:13" ht="12.75">
      <c r="B9" s="340" t="s">
        <v>21</v>
      </c>
      <c r="C9" s="341"/>
      <c r="D9" s="17">
        <v>8386</v>
      </c>
      <c r="E9" s="17">
        <f>D9*1.08</f>
        <v>9056.880000000001</v>
      </c>
      <c r="F9" s="199">
        <f>E9*1.08</f>
        <v>9781.430400000001</v>
      </c>
      <c r="G9" s="17">
        <f>F9*1.075</f>
        <v>10515.037680000001</v>
      </c>
      <c r="H9" s="17">
        <f>G9*1.075</f>
        <v>11303.665506000001</v>
      </c>
      <c r="I9" s="17">
        <f>H9*1.065</f>
        <v>12038.40376389</v>
      </c>
      <c r="J9" s="17">
        <f>I9*1.065</f>
        <v>12820.90000854285</v>
      </c>
      <c r="K9" s="17">
        <f>J9*1.065</f>
        <v>13654.258509098136</v>
      </c>
      <c r="L9" s="17">
        <f>K9*1.065</f>
        <v>14541.785312189513</v>
      </c>
      <c r="M9" s="18">
        <f>L9*1.065</f>
        <v>15487.001357481831</v>
      </c>
    </row>
    <row r="10" spans="2:13" ht="12.75">
      <c r="B10" s="48" t="s">
        <v>126</v>
      </c>
      <c r="C10" s="47"/>
      <c r="D10" s="17"/>
      <c r="E10" s="17">
        <f>D9*0.035</f>
        <v>293.51000000000005</v>
      </c>
      <c r="F10" s="199">
        <f aca="true" t="shared" si="0" ref="F10:L10">E9*0.035</f>
        <v>316.9908000000001</v>
      </c>
      <c r="G10" s="17">
        <f t="shared" si="0"/>
        <v>342.3500640000001</v>
      </c>
      <c r="H10" s="17">
        <f t="shared" si="0"/>
        <v>368.02631880000007</v>
      </c>
      <c r="I10" s="17">
        <f t="shared" si="0"/>
        <v>395.6282927100001</v>
      </c>
      <c r="J10" s="17">
        <f>I9*0.035</f>
        <v>421.3441317361501</v>
      </c>
      <c r="K10" s="17">
        <f t="shared" si="0"/>
        <v>448.73150029899983</v>
      </c>
      <c r="L10" s="17">
        <f t="shared" si="0"/>
        <v>477.8990478184348</v>
      </c>
      <c r="M10" s="18">
        <f>L9*0.035</f>
        <v>508.962485926633</v>
      </c>
    </row>
    <row r="11" spans="2:13" ht="12.75">
      <c r="B11" s="336" t="s">
        <v>22</v>
      </c>
      <c r="C11" s="337"/>
      <c r="D11" s="51">
        <v>5424</v>
      </c>
      <c r="E11" s="51">
        <f aca="true" t="shared" si="1" ref="E11:G12">D11*1.05</f>
        <v>5695.2</v>
      </c>
      <c r="F11" s="51">
        <f t="shared" si="1"/>
        <v>5979.96</v>
      </c>
      <c r="G11" s="51">
        <f t="shared" si="1"/>
        <v>6278.9580000000005</v>
      </c>
      <c r="H11" s="51">
        <f>G11*1.045</f>
        <v>6561.51111</v>
      </c>
      <c r="I11" s="51">
        <f>H11*1.02</f>
        <v>6692.7413322</v>
      </c>
      <c r="J11" s="51">
        <f>I11*1.02</f>
        <v>6826.5961588440005</v>
      </c>
      <c r="K11" s="51">
        <f>J11*1.02</f>
        <v>6963.12808202088</v>
      </c>
      <c r="L11" s="51">
        <f>K11*1.02</f>
        <v>7102.390643661298</v>
      </c>
      <c r="M11" s="57">
        <f>L11*1.02</f>
        <v>7244.4384565345235</v>
      </c>
    </row>
    <row r="12" spans="2:13" ht="12.75">
      <c r="B12" s="340" t="s">
        <v>23</v>
      </c>
      <c r="C12" s="342"/>
      <c r="D12" s="51">
        <v>5100</v>
      </c>
      <c r="E12" s="51">
        <f t="shared" si="1"/>
        <v>5355</v>
      </c>
      <c r="F12" s="51">
        <f t="shared" si="1"/>
        <v>5622.75</v>
      </c>
      <c r="G12" s="51">
        <f t="shared" si="1"/>
        <v>5903.8875</v>
      </c>
      <c r="H12" s="51">
        <f aca="true" t="shared" si="2" ref="H12:M12">G12*1.03</f>
        <v>6081.004125</v>
      </c>
      <c r="I12" s="51">
        <f t="shared" si="2"/>
        <v>6263.434248750001</v>
      </c>
      <c r="J12" s="51">
        <f t="shared" si="2"/>
        <v>6451.337276212501</v>
      </c>
      <c r="K12" s="51">
        <f t="shared" si="2"/>
        <v>6644.877394498876</v>
      </c>
      <c r="L12" s="51">
        <f t="shared" si="2"/>
        <v>6844.223716333842</v>
      </c>
      <c r="M12" s="57">
        <f t="shared" si="2"/>
        <v>7049.550427823858</v>
      </c>
    </row>
    <row r="13" spans="2:13" ht="12.75">
      <c r="B13" s="340" t="s">
        <v>24</v>
      </c>
      <c r="C13" s="341"/>
      <c r="D13" s="51">
        <v>0</v>
      </c>
      <c r="E13" s="1"/>
      <c r="F13" s="1"/>
      <c r="G13" s="1"/>
      <c r="H13" s="1"/>
      <c r="I13" s="1"/>
      <c r="J13" s="1"/>
      <c r="K13" s="1"/>
      <c r="L13" s="1"/>
      <c r="M13" s="6"/>
    </row>
    <row r="14" spans="2:13" ht="12.75">
      <c r="B14" s="336" t="s">
        <v>25</v>
      </c>
      <c r="C14" s="337"/>
      <c r="D14" s="51">
        <v>675</v>
      </c>
      <c r="E14" s="2">
        <f aca="true" t="shared" si="3" ref="E14:G15">D14*1.05</f>
        <v>708.75</v>
      </c>
      <c r="F14" s="2">
        <f t="shared" si="3"/>
        <v>744.1875</v>
      </c>
      <c r="G14" s="2">
        <f t="shared" si="3"/>
        <v>781.396875</v>
      </c>
      <c r="H14" s="2">
        <f aca="true" t="shared" si="4" ref="H14:M15">G14*1.03</f>
        <v>804.83878125</v>
      </c>
      <c r="I14" s="2">
        <f t="shared" si="4"/>
        <v>828.9839446875001</v>
      </c>
      <c r="J14" s="2">
        <f t="shared" si="4"/>
        <v>853.8534630281251</v>
      </c>
      <c r="K14" s="2">
        <f t="shared" si="4"/>
        <v>879.4690669189689</v>
      </c>
      <c r="L14" s="2">
        <f t="shared" si="4"/>
        <v>905.853138926538</v>
      </c>
      <c r="M14" s="7">
        <f t="shared" si="4"/>
        <v>933.0287330943341</v>
      </c>
    </row>
    <row r="15" spans="2:13" ht="12.75">
      <c r="B15" s="336" t="s">
        <v>11</v>
      </c>
      <c r="C15" s="337"/>
      <c r="D15" s="51">
        <v>469</v>
      </c>
      <c r="E15" s="51">
        <f t="shared" si="3"/>
        <v>492.45000000000005</v>
      </c>
      <c r="F15" s="51">
        <f t="shared" si="3"/>
        <v>517.0725000000001</v>
      </c>
      <c r="G15" s="51">
        <f t="shared" si="3"/>
        <v>542.9261250000002</v>
      </c>
      <c r="H15" s="51">
        <f t="shared" si="4"/>
        <v>559.2139087500002</v>
      </c>
      <c r="I15" s="51">
        <f t="shared" si="4"/>
        <v>575.9903260125002</v>
      </c>
      <c r="J15" s="51">
        <f t="shared" si="4"/>
        <v>593.2700357928752</v>
      </c>
      <c r="K15" s="51">
        <f t="shared" si="4"/>
        <v>611.0681368666615</v>
      </c>
      <c r="L15" s="51">
        <f t="shared" si="4"/>
        <v>629.4001809726614</v>
      </c>
      <c r="M15" s="58">
        <f t="shared" si="4"/>
        <v>648.2821864018413</v>
      </c>
    </row>
    <row r="16" spans="2:13" ht="12.75">
      <c r="B16" s="338" t="s">
        <v>12</v>
      </c>
      <c r="C16" s="339"/>
      <c r="D16" s="23">
        <f aca="true" t="shared" si="5" ref="D16:M16">SUM(D9:D15)</f>
        <v>20054</v>
      </c>
      <c r="E16" s="23">
        <f t="shared" si="5"/>
        <v>21601.79</v>
      </c>
      <c r="F16" s="201">
        <f t="shared" si="5"/>
        <v>22962.3912</v>
      </c>
      <c r="G16" s="23">
        <f t="shared" si="5"/>
        <v>24364.556244000003</v>
      </c>
      <c r="H16" s="23">
        <f t="shared" si="5"/>
        <v>25678.259749800003</v>
      </c>
      <c r="I16" s="23">
        <f t="shared" si="5"/>
        <v>26795.18190825</v>
      </c>
      <c r="J16" s="23">
        <f t="shared" si="5"/>
        <v>27967.3010741565</v>
      </c>
      <c r="K16" s="23">
        <f t="shared" si="5"/>
        <v>29201.532689702522</v>
      </c>
      <c r="L16" s="23">
        <f t="shared" si="5"/>
        <v>30501.55203990229</v>
      </c>
      <c r="M16" s="24">
        <f t="shared" si="5"/>
        <v>31871.263647263022</v>
      </c>
    </row>
    <row r="17" spans="2:13" ht="12.75">
      <c r="B17" s="21"/>
      <c r="C17" s="22"/>
      <c r="D17" s="19"/>
      <c r="E17" s="19"/>
      <c r="F17" s="89"/>
      <c r="G17" s="19"/>
      <c r="H17" s="19"/>
      <c r="I17" s="19"/>
      <c r="J17" s="19"/>
      <c r="K17" s="19"/>
      <c r="L17" s="19"/>
      <c r="M17" s="20"/>
    </row>
    <row r="18" spans="2:13" ht="12.75">
      <c r="B18" s="286" t="s">
        <v>20</v>
      </c>
      <c r="C18" s="284"/>
      <c r="D18" s="287"/>
      <c r="E18" s="287"/>
      <c r="F18" s="287"/>
      <c r="G18" s="287"/>
      <c r="H18" s="287"/>
      <c r="I18" s="287"/>
      <c r="J18" s="287"/>
      <c r="K18" s="287"/>
      <c r="L18" s="287"/>
      <c r="M18" s="288"/>
    </row>
    <row r="19" spans="2:13" ht="12.75">
      <c r="B19" s="283" t="s">
        <v>27</v>
      </c>
      <c r="C19" s="284"/>
      <c r="D19" s="287"/>
      <c r="E19" s="287"/>
      <c r="F19" s="287"/>
      <c r="G19" s="287"/>
      <c r="H19" s="287"/>
      <c r="I19" s="287"/>
      <c r="J19" s="287"/>
      <c r="K19" s="287"/>
      <c r="L19" s="287"/>
      <c r="M19" s="288"/>
    </row>
    <row r="20" spans="2:13" ht="12.75">
      <c r="B20" s="340" t="s">
        <v>13</v>
      </c>
      <c r="C20" s="341"/>
      <c r="D20" s="19">
        <v>-7471</v>
      </c>
      <c r="E20" s="19">
        <f>D20*1.055</f>
        <v>-7881.905</v>
      </c>
      <c r="F20" s="89">
        <f>E20*1.055</f>
        <v>-8315.409775</v>
      </c>
      <c r="G20" s="19">
        <f>F20*1.055</f>
        <v>-8772.757312624999</v>
      </c>
      <c r="H20" s="19">
        <f>G20*1.055</f>
        <v>-9255.258964819373</v>
      </c>
      <c r="I20" s="19">
        <f>H20*1.06</f>
        <v>-9810.574502708536</v>
      </c>
      <c r="J20" s="19">
        <f>I20*1.06</f>
        <v>-10399.208972871049</v>
      </c>
      <c r="K20" s="19">
        <f>J20*1.06</f>
        <v>-11023.161511243312</v>
      </c>
      <c r="L20" s="19">
        <f>K20*1.06</f>
        <v>-11684.551201917911</v>
      </c>
      <c r="M20" s="20">
        <f>L20*1.06</f>
        <v>-12385.624274032987</v>
      </c>
    </row>
    <row r="21" spans="2:13" ht="12.75">
      <c r="B21" s="340" t="s">
        <v>15</v>
      </c>
      <c r="C21" s="342"/>
      <c r="D21" s="19">
        <v>-3645</v>
      </c>
      <c r="E21" s="19">
        <f>D21*1.045</f>
        <v>-3809.0249999999996</v>
      </c>
      <c r="F21" s="89">
        <f aca="true" t="shared" si="6" ref="F21:L21">E21*1.045</f>
        <v>-3980.431124999999</v>
      </c>
      <c r="G21" s="19">
        <f t="shared" si="6"/>
        <v>-4159.550525624999</v>
      </c>
      <c r="H21" s="19">
        <f t="shared" si="6"/>
        <v>-4346.730299278123</v>
      </c>
      <c r="I21" s="19">
        <f t="shared" si="6"/>
        <v>-4542.333162745638</v>
      </c>
      <c r="J21" s="19">
        <f t="shared" si="6"/>
        <v>-4746.738155069192</v>
      </c>
      <c r="K21" s="19">
        <f t="shared" si="6"/>
        <v>-4960.3413720473045</v>
      </c>
      <c r="L21" s="19">
        <f t="shared" si="6"/>
        <v>-5183.556733789433</v>
      </c>
      <c r="M21" s="20">
        <f>L21*1.045</f>
        <v>-5416.816786809957</v>
      </c>
    </row>
    <row r="22" spans="2:13" ht="12.75">
      <c r="B22" s="340" t="s">
        <v>16</v>
      </c>
      <c r="C22" s="342"/>
      <c r="D22" s="19">
        <v>-457</v>
      </c>
      <c r="E22" s="19">
        <f>D22*1.1</f>
        <v>-502.70000000000005</v>
      </c>
      <c r="F22" s="89">
        <f aca="true" t="shared" si="7" ref="F22:L22">E22*1.1</f>
        <v>-552.9700000000001</v>
      </c>
      <c r="G22" s="19">
        <f t="shared" si="7"/>
        <v>-608.2670000000002</v>
      </c>
      <c r="H22" s="19">
        <f t="shared" si="7"/>
        <v>-669.0937000000002</v>
      </c>
      <c r="I22" s="19">
        <f t="shared" si="7"/>
        <v>-736.0030700000003</v>
      </c>
      <c r="J22" s="19">
        <f t="shared" si="7"/>
        <v>-809.6033770000004</v>
      </c>
      <c r="K22" s="19">
        <f t="shared" si="7"/>
        <v>-890.5637147000004</v>
      </c>
      <c r="L22" s="19">
        <f t="shared" si="7"/>
        <v>-979.6200861700006</v>
      </c>
      <c r="M22" s="20">
        <f>L22*1.1</f>
        <v>-1077.5820947870006</v>
      </c>
    </row>
    <row r="23" spans="2:13" ht="12.75">
      <c r="B23" s="336" t="s">
        <v>14</v>
      </c>
      <c r="C23" s="337"/>
      <c r="D23" s="2">
        <f>Depreciation!E67</f>
        <v>-7200</v>
      </c>
      <c r="E23" s="2">
        <f>Depreciation!F67</f>
        <v>-7358.709000000001</v>
      </c>
      <c r="F23" s="53">
        <f>Depreciation!G67</f>
        <v>-7436.284939000001</v>
      </c>
      <c r="G23" s="2">
        <f>Depreciation!H67</f>
        <v>-7615.830590769001</v>
      </c>
      <c r="H23" s="2">
        <f>Depreciation!I67</f>
        <v>-8223.709389423748</v>
      </c>
      <c r="I23" s="2">
        <f>Depreciation!J67</f>
        <v>-8279.948967889834</v>
      </c>
      <c r="J23" s="2">
        <f>Depreciation!K67</f>
        <v>-8434.140695946418</v>
      </c>
      <c r="K23" s="2">
        <f>Depreciation!L67</f>
        <v>-9174.232370127484</v>
      </c>
      <c r="L23" s="2">
        <f>Depreciation!M67</f>
        <v>-9278.659963167675</v>
      </c>
      <c r="M23" s="7">
        <f>Depreciation!N67</f>
        <v>-9366.881549071868</v>
      </c>
    </row>
    <row r="24" spans="2:13" ht="12.75">
      <c r="B24" s="336" t="s">
        <v>17</v>
      </c>
      <c r="C24" s="337"/>
      <c r="D24" s="2">
        <v>-92</v>
      </c>
      <c r="E24" s="2">
        <f>Loans!E32*-1</f>
        <v>-179</v>
      </c>
      <c r="F24" s="53">
        <f>Loans!F32*-1</f>
        <v>-170</v>
      </c>
      <c r="G24" s="2">
        <f>Loans!G32*-1</f>
        <v>-160</v>
      </c>
      <c r="H24" s="2">
        <f>Loans!H32*-1</f>
        <v>-151</v>
      </c>
      <c r="I24" s="2">
        <f>Loans!I32*-1</f>
        <v>-154</v>
      </c>
      <c r="J24" s="2">
        <f>Loans!J32*-1</f>
        <v>-182</v>
      </c>
      <c r="K24" s="2">
        <f>Loans!K32*-1</f>
        <v>-198</v>
      </c>
      <c r="L24" s="2">
        <f>Loans!L32*-1</f>
        <v>-185</v>
      </c>
      <c r="M24" s="7">
        <f>Loans!M32*-1</f>
        <v>-174</v>
      </c>
    </row>
    <row r="25" spans="2:13" ht="12.75">
      <c r="B25" s="336" t="s">
        <v>18</v>
      </c>
      <c r="C25" s="337"/>
      <c r="D25" s="2">
        <v>-347</v>
      </c>
      <c r="E25" s="2">
        <f>D25*1.05</f>
        <v>-364.35</v>
      </c>
      <c r="F25" s="53">
        <f aca="true" t="shared" si="8" ref="F25:L25">E25*1.05</f>
        <v>-382.56750000000005</v>
      </c>
      <c r="G25" s="2">
        <f t="shared" si="8"/>
        <v>-401.69587500000006</v>
      </c>
      <c r="H25" s="2">
        <f t="shared" si="8"/>
        <v>-421.7806687500001</v>
      </c>
      <c r="I25" s="2">
        <f t="shared" si="8"/>
        <v>-442.8697021875001</v>
      </c>
      <c r="J25" s="2">
        <f t="shared" si="8"/>
        <v>-465.0131872968751</v>
      </c>
      <c r="K25" s="2">
        <f t="shared" si="8"/>
        <v>-488.2638466617189</v>
      </c>
      <c r="L25" s="2">
        <f t="shared" si="8"/>
        <v>-512.6770389948049</v>
      </c>
      <c r="M25" s="7">
        <f>L25*1.05</f>
        <v>-538.3108909445451</v>
      </c>
    </row>
    <row r="26" spans="2:13" ht="12.75">
      <c r="B26" s="336" t="s">
        <v>19</v>
      </c>
      <c r="C26" s="337"/>
      <c r="D26" s="2">
        <v>-841</v>
      </c>
      <c r="E26" s="2">
        <f>D26*1.04</f>
        <v>-874.64</v>
      </c>
      <c r="F26" s="53">
        <f aca="true" t="shared" si="9" ref="F26:M26">E26*1.04</f>
        <v>-909.6256</v>
      </c>
      <c r="G26" s="2">
        <f t="shared" si="9"/>
        <v>-946.010624</v>
      </c>
      <c r="H26" s="2">
        <f t="shared" si="9"/>
        <v>-983.8510489600001</v>
      </c>
      <c r="I26" s="2">
        <f t="shared" si="9"/>
        <v>-1023.2050909184001</v>
      </c>
      <c r="J26" s="2">
        <f t="shared" si="9"/>
        <v>-1064.133294555136</v>
      </c>
      <c r="K26" s="2">
        <f t="shared" si="9"/>
        <v>-1106.6986263373415</v>
      </c>
      <c r="L26" s="2">
        <f t="shared" si="9"/>
        <v>-1150.9665713908353</v>
      </c>
      <c r="M26" s="7">
        <f t="shared" si="9"/>
        <v>-1197.0052342464687</v>
      </c>
    </row>
    <row r="27" spans="2:13" ht="12.75">
      <c r="B27" s="338" t="s">
        <v>29</v>
      </c>
      <c r="C27" s="339"/>
      <c r="D27" s="25">
        <f aca="true" t="shared" si="10" ref="D27:M27">SUM(D20:D26)</f>
        <v>-20053</v>
      </c>
      <c r="E27" s="25">
        <f t="shared" si="10"/>
        <v>-20970.328999999998</v>
      </c>
      <c r="F27" s="202">
        <f t="shared" si="10"/>
        <v>-21747.288939000002</v>
      </c>
      <c r="G27" s="25">
        <f t="shared" si="10"/>
        <v>-22664.111928019</v>
      </c>
      <c r="H27" s="25">
        <f t="shared" si="10"/>
        <v>-24051.42407123125</v>
      </c>
      <c r="I27" s="25">
        <f t="shared" si="10"/>
        <v>-24988.93449644991</v>
      </c>
      <c r="J27" s="25">
        <f t="shared" si="10"/>
        <v>-26100.83768273867</v>
      </c>
      <c r="K27" s="25">
        <f t="shared" si="10"/>
        <v>-27841.26144111716</v>
      </c>
      <c r="L27" s="25">
        <f t="shared" si="10"/>
        <v>-28975.031595430657</v>
      </c>
      <c r="M27" s="26">
        <f t="shared" si="10"/>
        <v>-30156.22082989283</v>
      </c>
    </row>
    <row r="28" spans="2:13" ht="12.75">
      <c r="B28" s="338"/>
      <c r="C28" s="355"/>
      <c r="D28" s="19"/>
      <c r="E28" s="19"/>
      <c r="F28" s="89"/>
      <c r="G28" s="19"/>
      <c r="H28" s="19"/>
      <c r="I28" s="19"/>
      <c r="J28" s="19"/>
      <c r="K28" s="19"/>
      <c r="L28" s="19"/>
      <c r="M28" s="20"/>
    </row>
    <row r="29" spans="2:13" ht="12.75">
      <c r="B29" s="338" t="s">
        <v>30</v>
      </c>
      <c r="C29" s="355"/>
      <c r="D29" s="29">
        <f>D16+D27</f>
        <v>1</v>
      </c>
      <c r="E29" s="29">
        <f aca="true" t="shared" si="11" ref="E29:M29">E16+E27</f>
        <v>631.461000000003</v>
      </c>
      <c r="F29" s="203">
        <f t="shared" si="11"/>
        <v>1215.1022609999964</v>
      </c>
      <c r="G29" s="29">
        <f t="shared" si="11"/>
        <v>1700.4443159810035</v>
      </c>
      <c r="H29" s="29">
        <f t="shared" si="11"/>
        <v>1626.8356785687538</v>
      </c>
      <c r="I29" s="29">
        <f t="shared" si="11"/>
        <v>1806.24741180009</v>
      </c>
      <c r="J29" s="29">
        <f t="shared" si="11"/>
        <v>1866.4633914178303</v>
      </c>
      <c r="K29" s="29">
        <f t="shared" si="11"/>
        <v>1360.2712485853626</v>
      </c>
      <c r="L29" s="29">
        <f t="shared" si="11"/>
        <v>1526.5204444716328</v>
      </c>
      <c r="M29" s="30">
        <f t="shared" si="11"/>
        <v>1715.0428173701912</v>
      </c>
    </row>
    <row r="30" spans="2:13" ht="12.75">
      <c r="B30" s="326"/>
      <c r="C30" s="327"/>
      <c r="D30" s="19"/>
      <c r="E30" s="19"/>
      <c r="F30" s="89"/>
      <c r="G30" s="19"/>
      <c r="H30" s="19"/>
      <c r="I30" s="19"/>
      <c r="J30" s="19"/>
      <c r="K30" s="19"/>
      <c r="L30" s="19"/>
      <c r="M30" s="20"/>
    </row>
    <row r="31" spans="2:13" ht="12.75">
      <c r="B31" s="340" t="s">
        <v>31</v>
      </c>
      <c r="C31" s="337"/>
      <c r="D31" s="19">
        <v>6658</v>
      </c>
      <c r="E31" s="19">
        <v>5100</v>
      </c>
      <c r="F31" s="89">
        <v>5200</v>
      </c>
      <c r="G31" s="19">
        <v>5400</v>
      </c>
      <c r="H31" s="19">
        <v>2700</v>
      </c>
      <c r="I31" s="19">
        <v>2700</v>
      </c>
      <c r="J31" s="19">
        <v>2920</v>
      </c>
      <c r="K31" s="19">
        <v>2920</v>
      </c>
      <c r="L31" s="19">
        <v>3000</v>
      </c>
      <c r="M31" s="20">
        <v>3130</v>
      </c>
    </row>
    <row r="32" spans="2:13" ht="12.75">
      <c r="B32" s="340" t="s">
        <v>32</v>
      </c>
      <c r="C32" s="352"/>
      <c r="D32" s="31">
        <v>110</v>
      </c>
      <c r="E32" s="31">
        <f>'Cap Wks'!F72</f>
        <v>872</v>
      </c>
      <c r="F32" s="204">
        <f>'Cap Wks'!G72</f>
        <v>751</v>
      </c>
      <c r="G32" s="31">
        <f>'Cap Wks'!H72</f>
        <v>18</v>
      </c>
      <c r="H32" s="31">
        <f>'Cap Wks'!I72</f>
        <v>20</v>
      </c>
      <c r="I32" s="31">
        <f>'Cap Wks'!J72</f>
        <v>8</v>
      </c>
      <c r="J32" s="31">
        <f>'Cap Wks'!K72</f>
        <v>5</v>
      </c>
      <c r="K32" s="31">
        <f>'Cap Wks'!L72</f>
        <v>3</v>
      </c>
      <c r="L32" s="31">
        <f>'Cap Wks'!M72</f>
        <v>10</v>
      </c>
      <c r="M32" s="32">
        <f>'Cap Wks'!N72</f>
        <v>10</v>
      </c>
    </row>
    <row r="33" spans="2:13" ht="12.75">
      <c r="B33" s="340" t="s">
        <v>33</v>
      </c>
      <c r="C33" s="337"/>
      <c r="D33" s="33">
        <v>-18</v>
      </c>
      <c r="E33" s="31">
        <f>'Cap Wks'!F73</f>
        <v>0</v>
      </c>
      <c r="F33" s="204">
        <f>'Cap Wks'!G73</f>
        <v>-5</v>
      </c>
      <c r="G33" s="31">
        <f>'Cap Wks'!H73</f>
        <v>-2</v>
      </c>
      <c r="H33" s="31">
        <f>'Cap Wks'!I73</f>
        <v>-10</v>
      </c>
      <c r="I33" s="31">
        <f>'Cap Wks'!J73</f>
        <v>-5</v>
      </c>
      <c r="J33" s="31">
        <f>'Cap Wks'!K73</f>
        <v>-10</v>
      </c>
      <c r="K33" s="31">
        <f>'Cap Wks'!L73</f>
        <v>-18</v>
      </c>
      <c r="L33" s="31">
        <f>'Cap Wks'!M73</f>
        <v>-14</v>
      </c>
      <c r="M33" s="32">
        <f>'Cap Wks'!N73</f>
        <v>-5</v>
      </c>
    </row>
    <row r="34" spans="2:13" ht="12.75">
      <c r="B34" s="338" t="s">
        <v>30</v>
      </c>
      <c r="C34" s="355"/>
      <c r="D34" s="25">
        <f>SUM(D31:D33)</f>
        <v>6750</v>
      </c>
      <c r="E34" s="25">
        <f aca="true" t="shared" si="12" ref="E34:M34">SUM(E31:E33)</f>
        <v>5972</v>
      </c>
      <c r="F34" s="202">
        <f t="shared" si="12"/>
        <v>5946</v>
      </c>
      <c r="G34" s="25">
        <f t="shared" si="12"/>
        <v>5416</v>
      </c>
      <c r="H34" s="25">
        <f t="shared" si="12"/>
        <v>2710</v>
      </c>
      <c r="I34" s="25">
        <f t="shared" si="12"/>
        <v>2703</v>
      </c>
      <c r="J34" s="25">
        <f t="shared" si="12"/>
        <v>2915</v>
      </c>
      <c r="K34" s="25">
        <f t="shared" si="12"/>
        <v>2905</v>
      </c>
      <c r="L34" s="25">
        <f t="shared" si="12"/>
        <v>2996</v>
      </c>
      <c r="M34" s="26">
        <f t="shared" si="12"/>
        <v>3135</v>
      </c>
    </row>
    <row r="35" spans="2:13" ht="13.5" thickBot="1">
      <c r="B35" s="21"/>
      <c r="C35" s="37"/>
      <c r="D35" s="33"/>
      <c r="E35" s="33"/>
      <c r="F35" s="205"/>
      <c r="G35" s="33"/>
      <c r="H35" s="33"/>
      <c r="I35" s="33"/>
      <c r="J35" s="33"/>
      <c r="K35" s="33"/>
      <c r="L35" s="33"/>
      <c r="M35" s="34"/>
    </row>
    <row r="36" spans="2:13" ht="13.5" thickBot="1">
      <c r="B36" s="353" t="s">
        <v>34</v>
      </c>
      <c r="C36" s="354"/>
      <c r="D36" s="173">
        <f>D29+D34</f>
        <v>6751</v>
      </c>
      <c r="E36" s="173">
        <f aca="true" t="shared" si="13" ref="E36:M36">E29+E34</f>
        <v>6603.461000000003</v>
      </c>
      <c r="F36" s="206">
        <f t="shared" si="13"/>
        <v>7161.102260999996</v>
      </c>
      <c r="G36" s="173">
        <f t="shared" si="13"/>
        <v>7116.4443159810035</v>
      </c>
      <c r="H36" s="173">
        <f t="shared" si="13"/>
        <v>4336.835678568754</v>
      </c>
      <c r="I36" s="173">
        <f t="shared" si="13"/>
        <v>4509.24741180009</v>
      </c>
      <c r="J36" s="173">
        <f t="shared" si="13"/>
        <v>4781.46339141783</v>
      </c>
      <c r="K36" s="173">
        <f t="shared" si="13"/>
        <v>4265.271248585363</v>
      </c>
      <c r="L36" s="173">
        <f t="shared" si="13"/>
        <v>4522.520444471633</v>
      </c>
      <c r="M36" s="174">
        <f t="shared" si="13"/>
        <v>4850.042817370191</v>
      </c>
    </row>
    <row r="37" spans="2:13" ht="13.5" thickTop="1">
      <c r="B37" s="50"/>
      <c r="D37" s="178"/>
      <c r="E37" s="178"/>
      <c r="F37" s="207"/>
      <c r="G37" s="178"/>
      <c r="H37" s="178"/>
      <c r="I37" s="178"/>
      <c r="J37" s="178"/>
      <c r="K37" s="180"/>
      <c r="L37" s="180"/>
      <c r="M37" s="181"/>
    </row>
    <row r="38" spans="2:13" ht="12.75">
      <c r="B38" s="334" t="s">
        <v>315</v>
      </c>
      <c r="C38" s="335"/>
      <c r="D38" s="2"/>
      <c r="E38" s="2"/>
      <c r="F38" s="53"/>
      <c r="G38"/>
      <c r="H38"/>
      <c r="I38"/>
      <c r="J38"/>
      <c r="K38"/>
      <c r="L38"/>
      <c r="M38" s="141"/>
    </row>
    <row r="39" spans="2:13" ht="12.75">
      <c r="B39" s="336" t="s">
        <v>317</v>
      </c>
      <c r="C39" s="337"/>
      <c r="D39" s="2"/>
      <c r="E39" s="2"/>
      <c r="F39" s="53"/>
      <c r="G39" s="2">
        <f>Ratios!G60</f>
        <v>18962.775492</v>
      </c>
      <c r="H39" s="2"/>
      <c r="I39" s="2"/>
      <c r="J39" s="2">
        <f>Ratios!J60</f>
        <v>23176.89351825664</v>
      </c>
      <c r="K39" s="2"/>
      <c r="L39" s="2"/>
      <c r="M39" s="7">
        <f>Ratios!M60</f>
        <v>26847.170320766734</v>
      </c>
    </row>
    <row r="40" spans="2:13" ht="12.75">
      <c r="B40" s="165"/>
      <c r="C40" s="63"/>
      <c r="D40" s="55"/>
      <c r="E40" s="55"/>
      <c r="F40" s="208"/>
      <c r="G40" s="168"/>
      <c r="H40" s="168"/>
      <c r="I40" s="168"/>
      <c r="J40" s="168"/>
      <c r="K40" s="168"/>
      <c r="L40" s="168"/>
      <c r="M40" s="169"/>
    </row>
    <row r="41" spans="2:13" ht="12.75">
      <c r="B41" s="50" t="s">
        <v>310</v>
      </c>
      <c r="C41" s="43"/>
      <c r="D41" s="170">
        <f aca="true" t="shared" si="14" ref="D41:M41">D39</f>
        <v>0</v>
      </c>
      <c r="E41" s="170">
        <f t="shared" si="14"/>
        <v>0</v>
      </c>
      <c r="F41" s="209">
        <f t="shared" si="14"/>
        <v>0</v>
      </c>
      <c r="G41" s="170">
        <f t="shared" si="14"/>
        <v>18962.775492</v>
      </c>
      <c r="H41" s="170">
        <f t="shared" si="14"/>
        <v>0</v>
      </c>
      <c r="I41" s="170">
        <f t="shared" si="14"/>
        <v>0</v>
      </c>
      <c r="J41" s="170">
        <f t="shared" si="14"/>
        <v>23176.89351825664</v>
      </c>
      <c r="K41" s="170">
        <f t="shared" si="14"/>
        <v>0</v>
      </c>
      <c r="L41" s="170">
        <f t="shared" si="14"/>
        <v>0</v>
      </c>
      <c r="M41" s="171">
        <f t="shared" si="14"/>
        <v>26847.170320766734</v>
      </c>
    </row>
    <row r="42" spans="2:13" ht="12.75">
      <c r="B42" s="336"/>
      <c r="C42" s="337"/>
      <c r="D42" s="2"/>
      <c r="E42" s="2"/>
      <c r="F42" s="53"/>
      <c r="G42" s="2"/>
      <c r="H42" s="2"/>
      <c r="I42" s="2"/>
      <c r="J42" s="2"/>
      <c r="K42" s="2"/>
      <c r="L42" s="2"/>
      <c r="M42" s="7"/>
    </row>
    <row r="43" spans="2:13" ht="13.5" thickBot="1">
      <c r="B43" s="172" t="s">
        <v>318</v>
      </c>
      <c r="C43" s="177"/>
      <c r="D43" s="313">
        <f aca="true" t="shared" si="15" ref="D43:M43">D36+D41</f>
        <v>6751</v>
      </c>
      <c r="E43" s="313">
        <f t="shared" si="15"/>
        <v>6603.461000000003</v>
      </c>
      <c r="F43" s="313">
        <f t="shared" si="15"/>
        <v>7161.102260999996</v>
      </c>
      <c r="G43" s="313">
        <f t="shared" si="15"/>
        <v>26079.219807981004</v>
      </c>
      <c r="H43" s="313">
        <f t="shared" si="15"/>
        <v>4336.835678568754</v>
      </c>
      <c r="I43" s="313">
        <f t="shared" si="15"/>
        <v>4509.24741180009</v>
      </c>
      <c r="J43" s="313">
        <f t="shared" si="15"/>
        <v>27958.35690967447</v>
      </c>
      <c r="K43" s="313">
        <f t="shared" si="15"/>
        <v>4265.271248585363</v>
      </c>
      <c r="L43" s="313">
        <f t="shared" si="15"/>
        <v>4522.520444471633</v>
      </c>
      <c r="M43" s="314">
        <f t="shared" si="15"/>
        <v>31697.213138136925</v>
      </c>
    </row>
    <row r="44" spans="2:13" ht="14.25" thickBot="1" thickTop="1">
      <c r="B44" s="3"/>
      <c r="C44" s="4"/>
      <c r="D44" s="67"/>
      <c r="E44" s="67"/>
      <c r="F44" s="210"/>
      <c r="G44" s="210"/>
      <c r="H44" s="210"/>
      <c r="I44" s="210"/>
      <c r="J44" s="210"/>
      <c r="K44" s="210"/>
      <c r="L44" s="210"/>
      <c r="M44" s="236"/>
    </row>
  </sheetData>
  <mergeCells count="29">
    <mergeCell ref="B33:C33"/>
    <mergeCell ref="B36:C36"/>
    <mergeCell ref="B21:C21"/>
    <mergeCell ref="B22:C22"/>
    <mergeCell ref="B28:C28"/>
    <mergeCell ref="B29:C29"/>
    <mergeCell ref="B30:C30"/>
    <mergeCell ref="B34:C34"/>
    <mergeCell ref="B27:C27"/>
    <mergeCell ref="B31:C31"/>
    <mergeCell ref="B32:C32"/>
    <mergeCell ref="B23:C23"/>
    <mergeCell ref="B24:C24"/>
    <mergeCell ref="B25:C25"/>
    <mergeCell ref="B26:C26"/>
    <mergeCell ref="B2:M2"/>
    <mergeCell ref="B3:M3"/>
    <mergeCell ref="B4:M4"/>
    <mergeCell ref="B9:C9"/>
    <mergeCell ref="B38:C38"/>
    <mergeCell ref="B39:C39"/>
    <mergeCell ref="B42:C42"/>
    <mergeCell ref="B11:C11"/>
    <mergeCell ref="B14:C14"/>
    <mergeCell ref="B15:C15"/>
    <mergeCell ref="B16:C16"/>
    <mergeCell ref="B20:C20"/>
    <mergeCell ref="B12:C12"/>
    <mergeCell ref="B13:C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7" r:id="rId1"/>
  <headerFooter alignWithMargins="0"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2:M69"/>
  <sheetViews>
    <sheetView showGridLines="0" zoomScaleSheetLayoutView="100" workbookViewId="0" topLeftCell="A1">
      <selection activeCell="B2" sqref="B2:M2"/>
    </sheetView>
  </sheetViews>
  <sheetFormatPr defaultColWidth="9.140625" defaultRowHeight="12.75"/>
  <cols>
    <col min="1" max="1" width="5.140625" style="0" customWidth="1"/>
    <col min="2" max="2" width="5.7109375" style="0" customWidth="1"/>
    <col min="3" max="3" width="36.00390625" style="0" customWidth="1"/>
    <col min="4" max="4" width="11.00390625" style="0" bestFit="1" customWidth="1"/>
    <col min="5" max="5" width="11.00390625" style="0" customWidth="1"/>
    <col min="6" max="6" width="10.8515625" style="0" customWidth="1"/>
    <col min="7" max="11" width="11.00390625" style="0" customWidth="1"/>
    <col min="12" max="12" width="11.140625" style="0" customWidth="1"/>
    <col min="13" max="13" width="11.00390625" style="0" customWidth="1"/>
  </cols>
  <sheetData>
    <row r="1" ht="13.5" thickBot="1"/>
    <row r="2" spans="2:13" ht="23.25">
      <c r="B2" s="343" t="s">
        <v>351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5"/>
    </row>
    <row r="3" spans="2:13" ht="21">
      <c r="B3" s="346" t="s">
        <v>258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8"/>
    </row>
    <row r="4" spans="2:13" ht="16.5" thickBot="1">
      <c r="B4" s="349" t="s">
        <v>118</v>
      </c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1"/>
    </row>
    <row r="5" spans="2:13" ht="12.75">
      <c r="B5" s="11"/>
      <c r="C5" s="12"/>
      <c r="D5" s="9" t="s">
        <v>0</v>
      </c>
      <c r="E5" s="9" t="s">
        <v>1</v>
      </c>
      <c r="F5" s="9" t="s">
        <v>2</v>
      </c>
      <c r="G5" s="9" t="s">
        <v>3</v>
      </c>
      <c r="H5" s="9" t="s">
        <v>4</v>
      </c>
      <c r="I5" s="9" t="s">
        <v>5</v>
      </c>
      <c r="J5" s="9" t="s">
        <v>6</v>
      </c>
      <c r="K5" s="9" t="s">
        <v>7</v>
      </c>
      <c r="L5" s="9" t="s">
        <v>8</v>
      </c>
      <c r="M5" s="10" t="s">
        <v>9</v>
      </c>
    </row>
    <row r="6" spans="2:13" ht="13.5" thickBot="1">
      <c r="B6" s="13"/>
      <c r="C6" s="14"/>
      <c r="D6" s="15" t="s">
        <v>119</v>
      </c>
      <c r="E6" s="15" t="s">
        <v>119</v>
      </c>
      <c r="F6" s="15" t="s">
        <v>119</v>
      </c>
      <c r="G6" s="15" t="s">
        <v>119</v>
      </c>
      <c r="H6" s="15" t="s">
        <v>119</v>
      </c>
      <c r="I6" s="15" t="s">
        <v>119</v>
      </c>
      <c r="J6" s="15" t="s">
        <v>119</v>
      </c>
      <c r="K6" s="15" t="s">
        <v>119</v>
      </c>
      <c r="L6" s="15" t="s">
        <v>119</v>
      </c>
      <c r="M6" s="16" t="s">
        <v>119</v>
      </c>
    </row>
    <row r="7" spans="2:13" ht="12.75">
      <c r="B7" s="280" t="s">
        <v>259</v>
      </c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2"/>
    </row>
    <row r="8" spans="2:13" ht="12.75">
      <c r="B8" s="340" t="s">
        <v>260</v>
      </c>
      <c r="C8" s="341"/>
      <c r="D8" s="17">
        <f>SCINT!D16</f>
        <v>20054</v>
      </c>
      <c r="E8" s="17">
        <f>SCINT!E16</f>
        <v>21601.79</v>
      </c>
      <c r="F8" s="17">
        <f>SCINT!F16</f>
        <v>22962.3912</v>
      </c>
      <c r="G8" s="17">
        <f>SCINT!G16</f>
        <v>24364.556244000003</v>
      </c>
      <c r="H8" s="17">
        <f>SCINT!H16</f>
        <v>25678.259749800003</v>
      </c>
      <c r="I8" s="17">
        <f>SCINT!I16</f>
        <v>26795.18190825</v>
      </c>
      <c r="J8" s="17">
        <f>SCINT!J16</f>
        <v>27967.3010741565</v>
      </c>
      <c r="K8" s="17">
        <f>SCINT!K16</f>
        <v>29201.532689702522</v>
      </c>
      <c r="L8" s="17">
        <f>SCINT!L16</f>
        <v>30501.55203990229</v>
      </c>
      <c r="M8" s="18">
        <f>SCINT!M16</f>
        <v>31871.263647263022</v>
      </c>
    </row>
    <row r="9" spans="2:13" ht="12.75">
      <c r="B9" s="48" t="s">
        <v>262</v>
      </c>
      <c r="C9" s="47"/>
      <c r="D9" s="124">
        <f>SCINT!D27</f>
        <v>-20053</v>
      </c>
      <c r="E9" s="124">
        <f>SCINT!E27</f>
        <v>-20970.328999999998</v>
      </c>
      <c r="F9" s="124">
        <f>SCINT!F27</f>
        <v>-21747.288939000002</v>
      </c>
      <c r="G9" s="124">
        <f>SCINT!G27</f>
        <v>-22664.111928019</v>
      </c>
      <c r="H9" s="124">
        <f>SCINT!H27</f>
        <v>-24051.42407123125</v>
      </c>
      <c r="I9" s="124">
        <f>SCINT!I27</f>
        <v>-24988.93449644991</v>
      </c>
      <c r="J9" s="124">
        <f>SCINT!J27</f>
        <v>-26100.83768273867</v>
      </c>
      <c r="K9" s="124">
        <f>SCINT!K27</f>
        <v>-27841.26144111716</v>
      </c>
      <c r="L9" s="124">
        <f>SCINT!L27</f>
        <v>-28975.031595430657</v>
      </c>
      <c r="M9" s="125">
        <f>SCINT!M27</f>
        <v>-30156.22082989283</v>
      </c>
    </row>
    <row r="10" spans="2:13" ht="12.75">
      <c r="B10" s="336" t="s">
        <v>261</v>
      </c>
      <c r="C10" s="337"/>
      <c r="D10" s="51">
        <f>SUM(D8:D9)</f>
        <v>1</v>
      </c>
      <c r="E10" s="51">
        <f aca="true" t="shared" si="0" ref="E10:M10">SUM(E8:E9)</f>
        <v>631.461000000003</v>
      </c>
      <c r="F10" s="51">
        <f t="shared" si="0"/>
        <v>1215.1022609999964</v>
      </c>
      <c r="G10" s="51">
        <f t="shared" si="0"/>
        <v>1700.4443159810035</v>
      </c>
      <c r="H10" s="51">
        <f t="shared" si="0"/>
        <v>1626.8356785687538</v>
      </c>
      <c r="I10" s="51">
        <f t="shared" si="0"/>
        <v>1806.24741180009</v>
      </c>
      <c r="J10" s="51">
        <f t="shared" si="0"/>
        <v>1866.4633914178303</v>
      </c>
      <c r="K10" s="51">
        <f t="shared" si="0"/>
        <v>1360.2712485853626</v>
      </c>
      <c r="L10" s="51">
        <f t="shared" si="0"/>
        <v>1526.5204444716328</v>
      </c>
      <c r="M10" s="57">
        <f t="shared" si="0"/>
        <v>1715.0428173701912</v>
      </c>
    </row>
    <row r="11" spans="2:13" ht="12.75">
      <c r="B11" s="340" t="s">
        <v>263</v>
      </c>
      <c r="C11" s="342"/>
      <c r="D11" s="51">
        <f>SCINT!D9+SCINT!D10</f>
        <v>8386</v>
      </c>
      <c r="E11" s="51">
        <f>SCINT!E9+SCINT!E10</f>
        <v>9350.390000000001</v>
      </c>
      <c r="F11" s="51">
        <f>SCINT!F9+SCINT!F10</f>
        <v>10098.4212</v>
      </c>
      <c r="G11" s="51">
        <f>SCINT!G9+SCINT!G10</f>
        <v>10857.387744000001</v>
      </c>
      <c r="H11" s="51">
        <f>SCINT!H9+SCINT!H10</f>
        <v>11671.691824800002</v>
      </c>
      <c r="I11" s="51">
        <f>SCINT!I9+SCINT!I10</f>
        <v>12434.032056600001</v>
      </c>
      <c r="J11" s="51">
        <f>SCINT!J9+SCINT!J10</f>
        <v>13242.244140279001</v>
      </c>
      <c r="K11" s="51">
        <f>SCINT!K9+SCINT!K10</f>
        <v>14102.990009397136</v>
      </c>
      <c r="L11" s="51">
        <f>SCINT!L9+SCINT!L10</f>
        <v>15019.684360007948</v>
      </c>
      <c r="M11" s="57">
        <f>SCINT!M9+SCINT!M10</f>
        <v>15995.963843408465</v>
      </c>
    </row>
    <row r="12" spans="2:13" ht="12.75">
      <c r="B12" s="340"/>
      <c r="C12" s="342"/>
      <c r="D12" s="51"/>
      <c r="E12" s="1"/>
      <c r="F12" s="1"/>
      <c r="G12" s="1"/>
      <c r="H12" s="1"/>
      <c r="I12" s="1"/>
      <c r="J12" s="1"/>
      <c r="K12" s="1"/>
      <c r="L12" s="1"/>
      <c r="M12" s="6"/>
    </row>
    <row r="13" spans="2:13" ht="12.75">
      <c r="B13" s="361" t="s">
        <v>264</v>
      </c>
      <c r="C13" s="367"/>
      <c r="D13" s="126">
        <f>D10/D11</f>
        <v>0.00011924636298592893</v>
      </c>
      <c r="E13" s="126">
        <f aca="true" t="shared" si="1" ref="E13:M13">E10/E11</f>
        <v>0.06753311893942422</v>
      </c>
      <c r="F13" s="126">
        <f t="shared" si="1"/>
        <v>0.12032596352784297</v>
      </c>
      <c r="G13" s="126">
        <f t="shared" si="1"/>
        <v>0.15661633866955715</v>
      </c>
      <c r="H13" s="126">
        <f t="shared" si="1"/>
        <v>0.1393830220150308</v>
      </c>
      <c r="I13" s="126">
        <f t="shared" si="1"/>
        <v>0.14526642713948382</v>
      </c>
      <c r="J13" s="126">
        <f t="shared" si="1"/>
        <v>0.14094766503666845</v>
      </c>
      <c r="K13" s="126">
        <f t="shared" si="1"/>
        <v>0.09645268469161389</v>
      </c>
      <c r="L13" s="126">
        <f t="shared" si="1"/>
        <v>0.1016346554216686</v>
      </c>
      <c r="M13" s="127">
        <f t="shared" si="1"/>
        <v>0.10721722267938967</v>
      </c>
    </row>
    <row r="14" spans="2:13" ht="13.5" thickBot="1">
      <c r="B14" s="336"/>
      <c r="C14" s="337"/>
      <c r="D14" s="51"/>
      <c r="E14" s="51"/>
      <c r="F14" s="51"/>
      <c r="G14" s="51"/>
      <c r="H14" s="51"/>
      <c r="I14" s="51"/>
      <c r="J14" s="51"/>
      <c r="K14" s="51"/>
      <c r="L14" s="51"/>
      <c r="M14" s="58"/>
    </row>
    <row r="15" spans="2:13" ht="12.75">
      <c r="B15" s="280" t="s">
        <v>265</v>
      </c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2"/>
    </row>
    <row r="16" spans="2:13" ht="12.75">
      <c r="B16" s="340" t="s">
        <v>266</v>
      </c>
      <c r="C16" s="341"/>
      <c r="D16" s="17">
        <f>SFPBS!E13</f>
        <v>8837</v>
      </c>
      <c r="E16" s="17">
        <f>SFPBS!F13</f>
        <v>12873.580000000002</v>
      </c>
      <c r="F16" s="17">
        <f>SFPBS!G13</f>
        <v>18135.4225</v>
      </c>
      <c r="G16" s="17">
        <f>SFPBS!H13</f>
        <v>19054.334261999997</v>
      </c>
      <c r="H16" s="17">
        <f>SFPBS!I13</f>
        <v>21432.486809121874</v>
      </c>
      <c r="I16" s="17">
        <f>SFPBS!J13</f>
        <v>20817.147358238875</v>
      </c>
      <c r="J16" s="17">
        <f>SFPBS!K13</f>
        <v>19717.709963854013</v>
      </c>
      <c r="K16" s="17">
        <f>SFPBS!L13</f>
        <v>19687.765943848106</v>
      </c>
      <c r="L16" s="17">
        <f>SFPBS!M13</f>
        <v>20889.314632512516</v>
      </c>
      <c r="M16" s="18">
        <f>SFPBS!N13</f>
        <v>21613.205415172335</v>
      </c>
    </row>
    <row r="17" spans="2:13" ht="12.75">
      <c r="B17" s="48" t="s">
        <v>267</v>
      </c>
      <c r="C17" s="47"/>
      <c r="D17" s="124">
        <f>-Reserves!D54</f>
        <v>-5590</v>
      </c>
      <c r="E17" s="124">
        <f>-Reserves!E54</f>
        <v>-10095</v>
      </c>
      <c r="F17" s="124">
        <f>-Reserves!F54</f>
        <v>-14900</v>
      </c>
      <c r="G17" s="124">
        <f>-Reserves!G54</f>
        <v>-15700</v>
      </c>
      <c r="H17" s="124">
        <f>-Reserves!H54</f>
        <v>-17930</v>
      </c>
      <c r="I17" s="124">
        <f>-Reserves!I54</f>
        <v>-17235</v>
      </c>
      <c r="J17" s="124">
        <f>-Reserves!J54</f>
        <v>-15910</v>
      </c>
      <c r="K17" s="124">
        <f>-Reserves!K54</f>
        <v>-15745</v>
      </c>
      <c r="L17" s="124">
        <f>-Reserves!L54</f>
        <v>-16730</v>
      </c>
      <c r="M17" s="125">
        <f>-Reserves!M54</f>
        <v>-17305</v>
      </c>
    </row>
    <row r="18" spans="2:13" ht="12.75">
      <c r="B18" s="129" t="s">
        <v>268</v>
      </c>
      <c r="C18" s="130"/>
      <c r="D18" s="128">
        <f>SUM(D16:D17)</f>
        <v>3247</v>
      </c>
      <c r="E18" s="128">
        <f aca="true" t="shared" si="2" ref="E18:M18">SUM(E16:E17)</f>
        <v>2778.5800000000017</v>
      </c>
      <c r="F18" s="128">
        <f t="shared" si="2"/>
        <v>3235.4225000000006</v>
      </c>
      <c r="G18" s="128">
        <f t="shared" si="2"/>
        <v>3354.3342619999967</v>
      </c>
      <c r="H18" s="128">
        <f t="shared" si="2"/>
        <v>3502.486809121874</v>
      </c>
      <c r="I18" s="128">
        <f t="shared" si="2"/>
        <v>3582.1473582388753</v>
      </c>
      <c r="J18" s="128">
        <f t="shared" si="2"/>
        <v>3807.709963854013</v>
      </c>
      <c r="K18" s="128">
        <f t="shared" si="2"/>
        <v>3942.765943848106</v>
      </c>
      <c r="L18" s="128">
        <f t="shared" si="2"/>
        <v>4159.314632512516</v>
      </c>
      <c r="M18" s="138">
        <f t="shared" si="2"/>
        <v>4308.205415172335</v>
      </c>
    </row>
    <row r="19" spans="2:13" ht="12.75">
      <c r="B19" s="131"/>
      <c r="C19" s="130"/>
      <c r="D19" s="128"/>
      <c r="E19" s="128"/>
      <c r="F19" s="128"/>
      <c r="G19" s="128"/>
      <c r="H19" s="128"/>
      <c r="I19" s="128"/>
      <c r="J19" s="128"/>
      <c r="K19" s="128"/>
      <c r="L19" s="128"/>
      <c r="M19" s="138"/>
    </row>
    <row r="20" spans="2:13" ht="12.75">
      <c r="B20" s="340" t="s">
        <v>269</v>
      </c>
      <c r="C20" s="341"/>
      <c r="D20" s="19">
        <f>SFPBS!E30</f>
        <v>4241</v>
      </c>
      <c r="E20" s="19">
        <f>SFPBS!F30</f>
        <v>3909.15</v>
      </c>
      <c r="F20" s="19">
        <f>SFPBS!G30</f>
        <v>4354.7075</v>
      </c>
      <c r="G20" s="19">
        <f>SFPBS!H30</f>
        <v>4402.792875</v>
      </c>
      <c r="H20" s="19">
        <f>SFPBS!I30</f>
        <v>4465.53251875</v>
      </c>
      <c r="I20" s="19">
        <f>SFPBS!J30</f>
        <v>4412.0591446875005</v>
      </c>
      <c r="J20" s="19">
        <f>SFPBS!K30</f>
        <v>4599.512101921876</v>
      </c>
      <c r="K20" s="19">
        <f>SFPBS!L30</f>
        <v>4672.037707017969</v>
      </c>
      <c r="L20" s="19">
        <f>SFPBS!M30</f>
        <v>4738.789592368868</v>
      </c>
      <c r="M20" s="20">
        <f>SFPBS!N30</f>
        <v>4786.9290719873115</v>
      </c>
    </row>
    <row r="21" spans="2:13" ht="12.75">
      <c r="B21" s="340" t="s">
        <v>270</v>
      </c>
      <c r="C21" s="342"/>
      <c r="D21" s="132">
        <f>D26*-1</f>
        <v>-963</v>
      </c>
      <c r="E21" s="132">
        <f aca="true" t="shared" si="3" ref="E21:M21">E26*-1</f>
        <v>-1040.04</v>
      </c>
      <c r="F21" s="132">
        <f t="shared" si="3"/>
        <v>-1123.2432000000001</v>
      </c>
      <c r="G21" s="132">
        <f t="shared" si="3"/>
        <v>-1213.1026560000003</v>
      </c>
      <c r="H21" s="132">
        <f t="shared" si="3"/>
        <v>-1310.1508684800003</v>
      </c>
      <c r="I21" s="132">
        <f t="shared" si="3"/>
        <v>-1414.9629379584005</v>
      </c>
      <c r="J21" s="132">
        <f t="shared" si="3"/>
        <v>-1528.1599729950726</v>
      </c>
      <c r="K21" s="132">
        <f t="shared" si="3"/>
        <v>-1650.4127708346784</v>
      </c>
      <c r="L21" s="132">
        <f t="shared" si="3"/>
        <v>-1782.4457925014528</v>
      </c>
      <c r="M21" s="139">
        <f t="shared" si="3"/>
        <v>-1925.0414559015692</v>
      </c>
    </row>
    <row r="22" spans="2:13" ht="12.75">
      <c r="B22" s="340" t="s">
        <v>272</v>
      </c>
      <c r="C22" s="342"/>
      <c r="D22" s="19">
        <f>SUM(D20:D21)</f>
        <v>3278</v>
      </c>
      <c r="E22" s="19">
        <f aca="true" t="shared" si="4" ref="E22:M22">SUM(E20:E21)</f>
        <v>2869.11</v>
      </c>
      <c r="F22" s="19">
        <f t="shared" si="4"/>
        <v>3231.4643000000005</v>
      </c>
      <c r="G22" s="19">
        <f t="shared" si="4"/>
        <v>3189.690219</v>
      </c>
      <c r="H22" s="19">
        <f t="shared" si="4"/>
        <v>3155.38165027</v>
      </c>
      <c r="I22" s="19">
        <f t="shared" si="4"/>
        <v>2997.0962067291002</v>
      </c>
      <c r="J22" s="19">
        <f t="shared" si="4"/>
        <v>3071.3521289268033</v>
      </c>
      <c r="K22" s="19">
        <f t="shared" si="4"/>
        <v>3021.6249361832906</v>
      </c>
      <c r="L22" s="19">
        <f t="shared" si="4"/>
        <v>2956.3437998674153</v>
      </c>
      <c r="M22" s="20">
        <f t="shared" si="4"/>
        <v>2861.8876160857426</v>
      </c>
    </row>
    <row r="23" spans="2:13" ht="12.75">
      <c r="B23" s="48"/>
      <c r="C23" s="49"/>
      <c r="D23" s="19"/>
      <c r="E23" s="19"/>
      <c r="F23" s="19"/>
      <c r="G23" s="19"/>
      <c r="H23" s="19"/>
      <c r="I23" s="19"/>
      <c r="J23" s="19"/>
      <c r="K23" s="19"/>
      <c r="L23" s="19"/>
      <c r="M23" s="20"/>
    </row>
    <row r="24" spans="2:13" ht="12.75">
      <c r="B24" s="60" t="s">
        <v>273</v>
      </c>
      <c r="C24" s="49"/>
      <c r="D24" s="135">
        <f>D18/D22</f>
        <v>0.9905430140329469</v>
      </c>
      <c r="E24" s="135">
        <f aca="true" t="shared" si="5" ref="E24:M24">E18/E22</f>
        <v>0.968446661159733</v>
      </c>
      <c r="F24" s="135">
        <f t="shared" si="5"/>
        <v>1.0012248936186607</v>
      </c>
      <c r="G24" s="135">
        <f t="shared" si="5"/>
        <v>1.0516175652479551</v>
      </c>
      <c r="H24" s="135">
        <f t="shared" si="5"/>
        <v>1.1100041761421071</v>
      </c>
      <c r="I24" s="135">
        <f t="shared" si="5"/>
        <v>1.1952059964562414</v>
      </c>
      <c r="J24" s="135">
        <f t="shared" si="5"/>
        <v>1.2397503783405353</v>
      </c>
      <c r="K24" s="135">
        <f t="shared" si="5"/>
        <v>1.3048495518534928</v>
      </c>
      <c r="L24" s="135">
        <f t="shared" si="5"/>
        <v>1.4069116835122664</v>
      </c>
      <c r="M24" s="140">
        <f t="shared" si="5"/>
        <v>1.50537197580971</v>
      </c>
    </row>
    <row r="25" spans="2:13" ht="12.75">
      <c r="B25" s="336"/>
      <c r="C25" s="337"/>
      <c r="D25" s="2"/>
      <c r="E25" s="2"/>
      <c r="F25" s="2"/>
      <c r="G25" s="2"/>
      <c r="H25" s="2"/>
      <c r="I25" s="2"/>
      <c r="J25" s="2"/>
      <c r="K25" s="2"/>
      <c r="L25" s="2"/>
      <c r="M25" s="7"/>
    </row>
    <row r="26" spans="2:13" ht="12.75">
      <c r="B26" s="336" t="s">
        <v>271</v>
      </c>
      <c r="C26" s="337"/>
      <c r="D26" s="2">
        <f>SFPBS!E29</f>
        <v>963</v>
      </c>
      <c r="E26" s="2">
        <f>D26*1.08</f>
        <v>1040.04</v>
      </c>
      <c r="F26" s="2">
        <f aca="true" t="shared" si="6" ref="F26:M26">E26*1.08</f>
        <v>1123.2432000000001</v>
      </c>
      <c r="G26" s="2">
        <f t="shared" si="6"/>
        <v>1213.1026560000003</v>
      </c>
      <c r="H26" s="2">
        <f t="shared" si="6"/>
        <v>1310.1508684800003</v>
      </c>
      <c r="I26" s="2">
        <f t="shared" si="6"/>
        <v>1414.9629379584005</v>
      </c>
      <c r="J26" s="2">
        <f t="shared" si="6"/>
        <v>1528.1599729950726</v>
      </c>
      <c r="K26" s="2">
        <f t="shared" si="6"/>
        <v>1650.4127708346784</v>
      </c>
      <c r="L26" s="2">
        <f t="shared" si="6"/>
        <v>1782.4457925014528</v>
      </c>
      <c r="M26" s="7">
        <f t="shared" si="6"/>
        <v>1925.0414559015692</v>
      </c>
    </row>
    <row r="27" spans="2:13" ht="13.5" thickBot="1">
      <c r="B27" s="50"/>
      <c r="C27" s="43"/>
      <c r="L27" s="43"/>
      <c r="M27" s="141"/>
    </row>
    <row r="28" spans="2:13" ht="12.75">
      <c r="B28" s="280" t="s">
        <v>274</v>
      </c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2"/>
    </row>
    <row r="29" spans="2:13" ht="12.75">
      <c r="B29" s="340" t="s">
        <v>275</v>
      </c>
      <c r="C29" s="341"/>
      <c r="D29" s="124">
        <f>SCINT!D9+SCINT!D10</f>
        <v>8386</v>
      </c>
      <c r="E29" s="124">
        <f>SCINT!E9+SCINT!E10</f>
        <v>9350.390000000001</v>
      </c>
      <c r="F29" s="124">
        <f>SCINT!F9+SCINT!F10</f>
        <v>10098.4212</v>
      </c>
      <c r="G29" s="124">
        <f>SCINT!G9+SCINT!G10</f>
        <v>10857.387744000001</v>
      </c>
      <c r="H29" s="124">
        <f>SCINT!H9+SCINT!H10</f>
        <v>11671.691824800002</v>
      </c>
      <c r="I29" s="124">
        <f>SCINT!I9+SCINT!I10</f>
        <v>12434.032056600001</v>
      </c>
      <c r="J29" s="124">
        <f>SCINT!J9+SCINT!J10</f>
        <v>13242.244140279001</v>
      </c>
      <c r="K29" s="124">
        <f>SCINT!K9+SCINT!K10</f>
        <v>14102.990009397136</v>
      </c>
      <c r="L29" s="124">
        <f>SCINT!L9+SCINT!L10</f>
        <v>15019.684360007948</v>
      </c>
      <c r="M29" s="125">
        <f>SCINT!M9+SCINT!M10</f>
        <v>15995.963843408465</v>
      </c>
    </row>
    <row r="30" spans="2:13" ht="12.75">
      <c r="B30" s="48" t="s">
        <v>276</v>
      </c>
      <c r="C30" s="47"/>
      <c r="D30" s="133">
        <f>SCINT!D27*-1</f>
        <v>20053</v>
      </c>
      <c r="E30" s="133">
        <f>SCINT!E27*-1</f>
        <v>20970.328999999998</v>
      </c>
      <c r="F30" s="133">
        <f>SCINT!F27*-1</f>
        <v>21747.288939000002</v>
      </c>
      <c r="G30" s="133">
        <f>SCINT!G27*-1</f>
        <v>22664.111928019</v>
      </c>
      <c r="H30" s="133">
        <f>SCINT!H27*-1</f>
        <v>24051.42407123125</v>
      </c>
      <c r="I30" s="133">
        <f>SCINT!I27*-1</f>
        <v>24988.93449644991</v>
      </c>
      <c r="J30" s="133">
        <f>SCINT!J27*-1</f>
        <v>26100.83768273867</v>
      </c>
      <c r="K30" s="133">
        <f>SCINT!K27*-1</f>
        <v>27841.26144111716</v>
      </c>
      <c r="L30" s="133">
        <f>SCINT!L27*-1</f>
        <v>28975.031595430657</v>
      </c>
      <c r="M30" s="142">
        <f>SCINT!M27*-1</f>
        <v>30156.22082989283</v>
      </c>
    </row>
    <row r="31" spans="2:13" ht="12.75">
      <c r="B31" s="50"/>
      <c r="C31" s="43"/>
      <c r="L31" s="43"/>
      <c r="M31" s="141"/>
    </row>
    <row r="32" spans="2:13" ht="12.75">
      <c r="B32" s="136" t="s">
        <v>277</v>
      </c>
      <c r="C32" s="137"/>
      <c r="D32" s="134">
        <f aca="true" t="shared" si="7" ref="D32:M32">D29/D30</f>
        <v>0.41819179175185756</v>
      </c>
      <c r="E32" s="134">
        <f t="shared" si="7"/>
        <v>0.44588666205475375</v>
      </c>
      <c r="F32" s="134">
        <f t="shared" si="7"/>
        <v>0.4643531075678233</v>
      </c>
      <c r="G32" s="134">
        <f t="shared" si="7"/>
        <v>0.47905639446553033</v>
      </c>
      <c r="H32" s="134">
        <f t="shared" si="7"/>
        <v>0.4852806964873619</v>
      </c>
      <c r="I32" s="134">
        <f t="shared" si="7"/>
        <v>0.4975815218678675</v>
      </c>
      <c r="J32" s="134">
        <f t="shared" si="7"/>
        <v>0.5073493924310531</v>
      </c>
      <c r="K32" s="134">
        <f t="shared" si="7"/>
        <v>0.5065499650302927</v>
      </c>
      <c r="L32" s="143">
        <f t="shared" si="7"/>
        <v>0.518366453218175</v>
      </c>
      <c r="M32" s="144">
        <f t="shared" si="7"/>
        <v>0.5304366198151796</v>
      </c>
    </row>
    <row r="33" spans="2:13" ht="13.5" thickBot="1">
      <c r="B33" s="50"/>
      <c r="C33" s="43"/>
      <c r="L33" s="43"/>
      <c r="M33" s="141"/>
    </row>
    <row r="34" spans="2:13" ht="12.75">
      <c r="B34" s="280" t="s">
        <v>278</v>
      </c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2"/>
    </row>
    <row r="35" spans="2:13" ht="12.75">
      <c r="B35" s="340" t="s">
        <v>279</v>
      </c>
      <c r="C35" s="341"/>
      <c r="D35" s="17"/>
      <c r="E35" s="17"/>
      <c r="F35" s="17"/>
      <c r="G35" s="17"/>
      <c r="H35" s="17"/>
      <c r="I35" s="17"/>
      <c r="J35" s="17"/>
      <c r="K35" s="17"/>
      <c r="L35" s="17"/>
      <c r="M35" s="18"/>
    </row>
    <row r="36" spans="2:13" ht="12.75">
      <c r="B36" s="48" t="s">
        <v>281</v>
      </c>
      <c r="C36" s="47"/>
      <c r="D36" s="17">
        <f>SCINT!D16</f>
        <v>20054</v>
      </c>
      <c r="E36" s="17">
        <f>SCINT!E16</f>
        <v>21601.79</v>
      </c>
      <c r="F36" s="17">
        <f>SCINT!F16</f>
        <v>22962.3912</v>
      </c>
      <c r="G36" s="17">
        <f>SCINT!G16</f>
        <v>24364.556244000003</v>
      </c>
      <c r="H36" s="17">
        <f>SCINT!H16</f>
        <v>25678.259749800003</v>
      </c>
      <c r="I36" s="17">
        <f>SCINT!I16</f>
        <v>26795.18190825</v>
      </c>
      <c r="J36" s="17">
        <f>SCINT!J16</f>
        <v>27967.3010741565</v>
      </c>
      <c r="K36" s="17">
        <f>SCINT!K16</f>
        <v>29201.532689702522</v>
      </c>
      <c r="L36" s="17">
        <f>SCINT!L16</f>
        <v>30501.55203990229</v>
      </c>
      <c r="M36" s="18">
        <f>SCINT!M16</f>
        <v>31871.263647263022</v>
      </c>
    </row>
    <row r="37" spans="2:13" ht="12.75">
      <c r="B37" s="48" t="s">
        <v>282</v>
      </c>
      <c r="C37" s="47"/>
      <c r="D37" s="17">
        <f>SCINT!D27</f>
        <v>-20053</v>
      </c>
      <c r="E37" s="17">
        <f>SCINT!E27</f>
        <v>-20970.328999999998</v>
      </c>
      <c r="F37" s="17">
        <f>SCINT!F27</f>
        <v>-21747.288939000002</v>
      </c>
      <c r="G37" s="17">
        <f>SCINT!G27</f>
        <v>-22664.111928019</v>
      </c>
      <c r="H37" s="17">
        <f>SCINT!H27</f>
        <v>-24051.42407123125</v>
      </c>
      <c r="I37" s="17">
        <f>SCINT!I27</f>
        <v>-24988.93449644991</v>
      </c>
      <c r="J37" s="17">
        <f>SCINT!J27</f>
        <v>-26100.83768273867</v>
      </c>
      <c r="K37" s="17">
        <f>SCINT!K27</f>
        <v>-27841.26144111716</v>
      </c>
      <c r="L37" s="17">
        <f>SCINT!L27</f>
        <v>-28975.031595430657</v>
      </c>
      <c r="M37" s="18">
        <f>SCINT!M27</f>
        <v>-30156.22082989283</v>
      </c>
    </row>
    <row r="38" spans="2:13" ht="12.75">
      <c r="B38" s="48" t="s">
        <v>283</v>
      </c>
      <c r="C38" s="47"/>
      <c r="D38" s="124">
        <f>(SCINT!D23+SCINT!D24)*-1</f>
        <v>7292</v>
      </c>
      <c r="E38" s="124">
        <f>(SCINT!E23+SCINT!E24)*-1</f>
        <v>7537.709000000001</v>
      </c>
      <c r="F38" s="124">
        <f>(SCINT!F23+SCINT!F24)*-1</f>
        <v>7606.284939000001</v>
      </c>
      <c r="G38" s="124">
        <f>(SCINT!G23+SCINT!G24)*-1</f>
        <v>7775.830590769001</v>
      </c>
      <c r="H38" s="124">
        <f>(SCINT!H23+SCINT!H24)*-1</f>
        <v>8374.709389423748</v>
      </c>
      <c r="I38" s="124">
        <f>(SCINT!I23+SCINT!I24)*-1</f>
        <v>8433.948967889834</v>
      </c>
      <c r="J38" s="124">
        <f>(SCINT!J23+SCINT!J24)*-1</f>
        <v>8616.140695946418</v>
      </c>
      <c r="K38" s="124">
        <f>(SCINT!K23+SCINT!K24)*-1</f>
        <v>9372.232370127484</v>
      </c>
      <c r="L38" s="124">
        <f>(SCINT!L23+SCINT!L24)*-1</f>
        <v>9463.659963167675</v>
      </c>
      <c r="M38" s="125">
        <f>(SCINT!M23+SCINT!M24)*-1</f>
        <v>9540.881549071868</v>
      </c>
    </row>
    <row r="39" spans="2:13" ht="12.75">
      <c r="B39" s="48" t="s">
        <v>285</v>
      </c>
      <c r="C39" s="47"/>
      <c r="D39" s="17">
        <f>SUM(D36:D38)</f>
        <v>7293</v>
      </c>
      <c r="E39" s="17">
        <f aca="true" t="shared" si="8" ref="E39:M39">SUM(E36:E38)</f>
        <v>8169.170000000004</v>
      </c>
      <c r="F39" s="17">
        <f t="shared" si="8"/>
        <v>8821.387199999997</v>
      </c>
      <c r="G39" s="17">
        <f t="shared" si="8"/>
        <v>9476.274906750004</v>
      </c>
      <c r="H39" s="17">
        <f t="shared" si="8"/>
        <v>10001.545067992502</v>
      </c>
      <c r="I39" s="17">
        <f t="shared" si="8"/>
        <v>10240.196379689924</v>
      </c>
      <c r="J39" s="17">
        <f t="shared" si="8"/>
        <v>10482.604087364249</v>
      </c>
      <c r="K39" s="17">
        <f t="shared" si="8"/>
        <v>10732.503618712846</v>
      </c>
      <c r="L39" s="17">
        <f t="shared" si="8"/>
        <v>10990.180407639307</v>
      </c>
      <c r="M39" s="18">
        <f t="shared" si="8"/>
        <v>11255.92436644206</v>
      </c>
    </row>
    <row r="40" spans="2:13" ht="12.75">
      <c r="B40" s="48" t="s">
        <v>280</v>
      </c>
      <c r="C40" s="47"/>
      <c r="D40" s="133">
        <f>(SCINT!D24+RSS!D33)*-1-RSS!D35</f>
        <v>151</v>
      </c>
      <c r="E40" s="133">
        <f>(SCINT!E24+RSS!E33)*-1-RSS!E35</f>
        <v>268</v>
      </c>
      <c r="F40" s="133">
        <f>(SCINT!F24+RSS!F33)*-1-RSS!F35</f>
        <v>265</v>
      </c>
      <c r="G40" s="133">
        <f>(SCINT!G24+RSS!G33)*-1-RSS!G35</f>
        <v>262</v>
      </c>
      <c r="H40" s="133">
        <f>(SCINT!H24+RSS!H33)*-1-RSS!H35</f>
        <v>259</v>
      </c>
      <c r="I40" s="133">
        <f>(SCINT!I24+RSS!I33)*-1-RSS!I35</f>
        <v>277</v>
      </c>
      <c r="J40" s="133">
        <f>(SCINT!J24+RSS!J33)*-1-RSS!J35</f>
        <v>335</v>
      </c>
      <c r="K40" s="133">
        <f>(SCINT!K24+RSS!K33)*-1-RSS!K35</f>
        <v>374</v>
      </c>
      <c r="L40" s="133">
        <f>(SCINT!L24+RSS!L33)*-1-RSS!L35</f>
        <v>314</v>
      </c>
      <c r="M40" s="142">
        <f>(SCINT!M24+RSS!M33)*-1-RSS!M35</f>
        <v>310</v>
      </c>
    </row>
    <row r="41" spans="2:13" ht="12.75">
      <c r="B41" s="50"/>
      <c r="C41" s="43"/>
      <c r="L41" s="43"/>
      <c r="M41" s="141"/>
    </row>
    <row r="42" spans="2:13" ht="12.75">
      <c r="B42" s="136" t="s">
        <v>284</v>
      </c>
      <c r="C42" s="137"/>
      <c r="D42" s="145">
        <f>D39/D40</f>
        <v>48.29801324503311</v>
      </c>
      <c r="E42" s="145">
        <f aca="true" t="shared" si="9" ref="E42:M42">E39/E40</f>
        <v>30.481977611940312</v>
      </c>
      <c r="F42" s="145">
        <f t="shared" si="9"/>
        <v>33.288253584905654</v>
      </c>
      <c r="G42" s="145">
        <f t="shared" si="9"/>
        <v>36.168988193702305</v>
      </c>
      <c r="H42" s="145">
        <f t="shared" si="9"/>
        <v>38.61600412352317</v>
      </c>
      <c r="I42" s="145">
        <f t="shared" si="9"/>
        <v>36.96821797721994</v>
      </c>
      <c r="J42" s="145">
        <f t="shared" si="9"/>
        <v>31.2913554846694</v>
      </c>
      <c r="K42" s="145">
        <f t="shared" si="9"/>
        <v>28.69653373987392</v>
      </c>
      <c r="L42" s="145">
        <f t="shared" si="9"/>
        <v>35.000574546622</v>
      </c>
      <c r="M42" s="146">
        <f t="shared" si="9"/>
        <v>36.30943344013568</v>
      </c>
    </row>
    <row r="43" spans="2:13" ht="13.5" thickBot="1">
      <c r="B43" s="148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51"/>
    </row>
    <row r="44" spans="2:13" ht="12.75">
      <c r="B44" s="312" t="s">
        <v>286</v>
      </c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5"/>
    </row>
    <row r="45" spans="2:13" ht="12.75">
      <c r="B45" s="340" t="s">
        <v>287</v>
      </c>
      <c r="C45" s="341"/>
      <c r="D45" s="17">
        <f>'Cap Wks'!E12+'Cap Wks'!E13+'Cap Wks'!E22+'Cap Wks'!E31+'Cap Wks'!E32+'Cap Wks'!E42+'Cap Wks'!E57-'Cap Wks'!E55+'Cap Wks'!E66</f>
        <v>10198</v>
      </c>
      <c r="E45" s="17">
        <f>'Cap Wks'!F12+'Cap Wks'!F13+'Cap Wks'!F22+'Cap Wks'!F31+'Cap Wks'!F32+'Cap Wks'!F42+'Cap Wks'!F57-'Cap Wks'!F55+'Cap Wks'!F66</f>
        <v>9074.32</v>
      </c>
      <c r="F45" s="17">
        <f>'Cap Wks'!G12+'Cap Wks'!G13+'Cap Wks'!G22+'Cap Wks'!G31+'Cap Wks'!G32+'Cap Wks'!G42+'Cap Wks'!G57-'Cap Wks'!G55+'Cap Wks'!G66</f>
        <v>10073.099600000001</v>
      </c>
      <c r="G45" s="17">
        <f>'Cap Wks'!H12+'Cap Wks'!H13+'Cap Wks'!H22+'Cap Wks'!H31+'Cap Wks'!H32+'Cap Wks'!H42+'Cap Wks'!H57-'Cap Wks'!H55+'Cap Wks'!H66</f>
        <v>11600.442588000002</v>
      </c>
      <c r="H45" s="17">
        <f>'Cap Wks'!I12+'Cap Wks'!I13+'Cap Wks'!I22+'Cap Wks'!I31+'Cap Wks'!I32+'Cap Wks'!I42+'Cap Wks'!I57-'Cap Wks'!I55+'Cap Wks'!I66</f>
        <v>7983.8534346000015</v>
      </c>
      <c r="I45" s="17">
        <f>'Cap Wks'!J12+'Cap Wks'!J13+'Cap Wks'!J22+'Cap Wks'!J31+'Cap Wks'!J32+'Cap Wks'!J42+'Cap Wks'!J57-'Cap Wks'!J55+'Cap Wks'!J66</f>
        <v>7958.669037638</v>
      </c>
      <c r="J45" s="17">
        <f>'Cap Wks'!K12+'Cap Wks'!K13+'Cap Wks'!K22+'Cap Wks'!K31+'Cap Wks'!K32+'Cap Wks'!K42+'Cap Wks'!K57-'Cap Wks'!K55+'Cap Wks'!K66</f>
        <v>9731.17910876714</v>
      </c>
      <c r="K45" s="17">
        <f>'Cap Wks'!L12+'Cap Wks'!L13+'Cap Wks'!L22+'Cap Wks'!L31+'Cap Wks'!L32+'Cap Wks'!L42+'Cap Wks'!L57-'Cap Wks'!L55+'Cap Wks'!L66</f>
        <v>10381.464482030155</v>
      </c>
      <c r="L45" s="17">
        <f>'Cap Wks'!M12+'Cap Wks'!M13+'Cap Wks'!M22+'Cap Wks'!M31+'Cap Wks'!M32+'Cap Wks'!M42+'Cap Wks'!M57-'Cap Wks'!M55+'Cap Wks'!M66</f>
        <v>10034.608416491059</v>
      </c>
      <c r="M45" s="18">
        <f>'Cap Wks'!N12+'Cap Wks'!N13+'Cap Wks'!N22+'Cap Wks'!N31+'Cap Wks'!N32+'Cap Wks'!N42+'Cap Wks'!N57-'Cap Wks'!N55+'Cap Wks'!N66</f>
        <v>10650.69666898579</v>
      </c>
    </row>
    <row r="46" spans="2:13" ht="12.75">
      <c r="B46" s="48" t="s">
        <v>288</v>
      </c>
      <c r="C46" s="47"/>
      <c r="D46" s="17">
        <f>SCINT!D23*-1</f>
        <v>7200</v>
      </c>
      <c r="E46" s="17">
        <f>SCINT!E23*-1</f>
        <v>7358.709000000001</v>
      </c>
      <c r="F46" s="17">
        <f>SCINT!F23*-1</f>
        <v>7436.284939000001</v>
      </c>
      <c r="G46" s="17">
        <f>SCINT!G23*-1</f>
        <v>7615.830590769001</v>
      </c>
      <c r="H46" s="17">
        <f>SCINT!H23*-1</f>
        <v>8223.709389423748</v>
      </c>
      <c r="I46" s="17">
        <f>SCINT!I23*-1</f>
        <v>8279.948967889834</v>
      </c>
      <c r="J46" s="17">
        <f>SCINT!J23*-1</f>
        <v>8434.140695946418</v>
      </c>
      <c r="K46" s="17">
        <f>SCINT!K23*-1</f>
        <v>9174.232370127484</v>
      </c>
      <c r="L46" s="17">
        <f>SCINT!L23*-1</f>
        <v>9278.659963167675</v>
      </c>
      <c r="M46" s="18">
        <f>SCINT!M23*-1</f>
        <v>9366.881549071868</v>
      </c>
    </row>
    <row r="47" spans="2:13" ht="12.75">
      <c r="B47" s="50"/>
      <c r="C47" s="43"/>
      <c r="M47" s="141"/>
    </row>
    <row r="48" spans="2:13" ht="12.75">
      <c r="B48" s="136" t="s">
        <v>350</v>
      </c>
      <c r="C48" s="137"/>
      <c r="D48" s="134">
        <f>D45/D46</f>
        <v>1.416388888888889</v>
      </c>
      <c r="E48" s="134">
        <f aca="true" t="shared" si="10" ref="E48:M48">E45/E46</f>
        <v>1.2331402152198163</v>
      </c>
      <c r="F48" s="134">
        <f t="shared" si="10"/>
        <v>1.3545876311397218</v>
      </c>
      <c r="G48" s="134">
        <f t="shared" si="10"/>
        <v>1.523201238491396</v>
      </c>
      <c r="H48" s="134">
        <f t="shared" si="10"/>
        <v>0.9708336051937563</v>
      </c>
      <c r="I48" s="134">
        <f t="shared" si="10"/>
        <v>0.9611978369072349</v>
      </c>
      <c r="J48" s="134">
        <f t="shared" si="10"/>
        <v>1.1537842987898104</v>
      </c>
      <c r="K48" s="134">
        <f t="shared" si="10"/>
        <v>1.131589441295773</v>
      </c>
      <c r="L48" s="134">
        <f t="shared" si="10"/>
        <v>1.0814717272024386</v>
      </c>
      <c r="M48" s="144">
        <f t="shared" si="10"/>
        <v>1.1370589681515864</v>
      </c>
    </row>
    <row r="49" spans="2:13" ht="12.75">
      <c r="B49" s="50"/>
      <c r="C49" s="43"/>
      <c r="M49" s="141"/>
    </row>
    <row r="50" spans="2:13" ht="13.5" thickBot="1">
      <c r="B50" s="50"/>
      <c r="C50" s="43"/>
      <c r="M50" s="141"/>
    </row>
    <row r="51" spans="2:13" ht="12.75">
      <c r="B51" s="280" t="s">
        <v>289</v>
      </c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282"/>
    </row>
    <row r="52" spans="2:13" ht="12.75">
      <c r="B52" s="340" t="s">
        <v>290</v>
      </c>
      <c r="C52" s="341"/>
      <c r="D52" s="17">
        <f>SFPBS!E19+SFPBS!E20</f>
        <v>227856</v>
      </c>
      <c r="E52" s="17">
        <f>SFPBS!F19+SFPBS!F20</f>
        <v>230032.291</v>
      </c>
      <c r="F52" s="17">
        <f>SFPBS!G19+SFPBS!G20</f>
        <v>232315.006061</v>
      </c>
      <c r="G52" s="17">
        <f>SFPBS!H19+SFPBS!H20</f>
        <v>257454.95096223097</v>
      </c>
      <c r="H52" s="17">
        <f>SFPBS!I19+SFPBS!I20</f>
        <v>259404.24157280725</v>
      </c>
      <c r="I52" s="17">
        <f>SFPBS!J19+SFPBS!J20</f>
        <v>264889.2926049174</v>
      </c>
      <c r="J52" s="17">
        <f>SFPBS!K19+SFPBS!K20</f>
        <v>295021.0454272276</v>
      </c>
      <c r="K52" s="17">
        <f>SFPBS!L19+SFPBS!L20</f>
        <v>299252.8130571001</v>
      </c>
      <c r="L52" s="17">
        <f>SFPBS!M19+SFPBS!M20</f>
        <v>302553.15309393243</v>
      </c>
      <c r="M52" s="18">
        <f>SFPBS!N19+SFPBS!N20</f>
        <v>333484.4418656273</v>
      </c>
    </row>
    <row r="53" spans="2:13" ht="12.75">
      <c r="B53" s="48" t="s">
        <v>291</v>
      </c>
      <c r="C53" s="47"/>
      <c r="D53" s="17">
        <v>304000</v>
      </c>
      <c r="E53" s="17">
        <f>E61</f>
        <v>313345.46</v>
      </c>
      <c r="F53" s="17">
        <f aca="true" t="shared" si="11" ref="F53:M53">F61</f>
        <v>323162.6746</v>
      </c>
      <c r="G53" s="17">
        <f t="shared" si="11"/>
        <v>353631.49873</v>
      </c>
      <c r="H53" s="17">
        <f t="shared" si="11"/>
        <v>362404.9172961</v>
      </c>
      <c r="I53" s="17">
        <f t="shared" si="11"/>
        <v>374573.821519183</v>
      </c>
      <c r="J53" s="17">
        <f t="shared" si="11"/>
        <v>411652.84428721515</v>
      </c>
      <c r="K53" s="17">
        <f t="shared" si="11"/>
        <v>423390.7237144839</v>
      </c>
      <c r="L53" s="17">
        <f t="shared" si="11"/>
        <v>434001.82772457076</v>
      </c>
      <c r="M53" s="18">
        <f t="shared" si="11"/>
        <v>472484.3438757269</v>
      </c>
    </row>
    <row r="54" spans="2:13" ht="12.75">
      <c r="B54" s="50"/>
      <c r="C54" s="43"/>
      <c r="M54" s="141"/>
    </row>
    <row r="55" spans="2:13" ht="12.75">
      <c r="B55" s="136" t="s">
        <v>349</v>
      </c>
      <c r="C55" s="137"/>
      <c r="D55" s="134">
        <f>D52/D53</f>
        <v>0.7495263157894737</v>
      </c>
      <c r="E55" s="134">
        <f aca="true" t="shared" si="12" ref="E55:M55">E52/E53</f>
        <v>0.7341171976769665</v>
      </c>
      <c r="F55" s="134">
        <f t="shared" si="12"/>
        <v>0.7188794508788855</v>
      </c>
      <c r="G55" s="134">
        <f t="shared" si="12"/>
        <v>0.7280317276227691</v>
      </c>
      <c r="H55" s="134">
        <f t="shared" si="12"/>
        <v>0.7157856562990924</v>
      </c>
      <c r="I55" s="134">
        <f t="shared" si="12"/>
        <v>0.7071751344784026</v>
      </c>
      <c r="J55" s="134">
        <f t="shared" si="12"/>
        <v>0.7166743762892305</v>
      </c>
      <c r="K55" s="134">
        <f t="shared" si="12"/>
        <v>0.7068005893745161</v>
      </c>
      <c r="L55" s="134">
        <f t="shared" si="12"/>
        <v>0.6971241450299624</v>
      </c>
      <c r="M55" s="144">
        <f t="shared" si="12"/>
        <v>0.7058105653408498</v>
      </c>
    </row>
    <row r="56" spans="2:13" ht="12.75">
      <c r="B56" s="50"/>
      <c r="C56" s="43"/>
      <c r="M56" s="141"/>
    </row>
    <row r="57" spans="2:13" ht="12.75">
      <c r="B57" s="48" t="s">
        <v>293</v>
      </c>
      <c r="C57" s="47"/>
      <c r="D57" s="83">
        <v>304000</v>
      </c>
      <c r="E57" s="83"/>
      <c r="F57" s="83"/>
      <c r="G57" s="83"/>
      <c r="H57" s="83"/>
      <c r="I57" s="83"/>
      <c r="J57" s="83"/>
      <c r="K57" s="83"/>
      <c r="L57" s="83"/>
      <c r="M57" s="147"/>
    </row>
    <row r="58" spans="2:13" ht="12.75">
      <c r="B58" s="48" t="s">
        <v>292</v>
      </c>
      <c r="C58" s="47"/>
      <c r="D58" s="17">
        <f>D64</f>
        <v>0</v>
      </c>
      <c r="E58" s="17">
        <f>'Cap Wks'!F68</f>
        <v>11857.82</v>
      </c>
      <c r="F58" s="17">
        <f>'Cap Wks'!G68</f>
        <v>12423.134600000001</v>
      </c>
      <c r="G58" s="17">
        <f>'Cap Wks'!H68</f>
        <v>14122.078638</v>
      </c>
      <c r="H58" s="17">
        <f>'Cap Wks'!I68</f>
        <v>10563.188566100001</v>
      </c>
      <c r="I58" s="17">
        <f>'Cap Wks'!J68</f>
        <v>13996.834223083</v>
      </c>
      <c r="J58" s="17">
        <f>'Cap Wks'!K68</f>
        <v>15789.33924977549</v>
      </c>
      <c r="K58" s="17">
        <f>'Cap Wks'!L68</f>
        <v>13740.819427268756</v>
      </c>
      <c r="L58" s="17">
        <f>'Cap Wks'!M68</f>
        <v>12871.394010086819</v>
      </c>
      <c r="M58" s="18">
        <f>'Cap Wks'!N68</f>
        <v>13856.185830389422</v>
      </c>
    </row>
    <row r="59" spans="2:13" ht="12.75">
      <c r="B59" s="48" t="s">
        <v>316</v>
      </c>
      <c r="C59" s="47"/>
      <c r="D59" s="17"/>
      <c r="E59" s="17">
        <f>Depreciation!F68</f>
        <v>-2512.3599999999997</v>
      </c>
      <c r="F59" s="17">
        <f>Depreciation!G68</f>
        <v>-2605.9199999999996</v>
      </c>
      <c r="G59" s="17">
        <f>Depreciation!H68</f>
        <v>-2616.0299999999997</v>
      </c>
      <c r="H59" s="17">
        <f>Depreciation!I68</f>
        <v>-1789.7699999999998</v>
      </c>
      <c r="I59" s="17">
        <f>Depreciation!J68</f>
        <v>-1827.9299999999998</v>
      </c>
      <c r="J59" s="17">
        <f>Depreciation!K68</f>
        <v>-1887.21</v>
      </c>
      <c r="K59" s="17">
        <f>Depreciation!L68</f>
        <v>-2002.94</v>
      </c>
      <c r="L59" s="17">
        <f>Depreciation!M68</f>
        <v>-2260.29</v>
      </c>
      <c r="M59" s="18">
        <f>Depreciation!N68</f>
        <v>-2220.8399999999997</v>
      </c>
    </row>
    <row r="60" spans="2:13" ht="12.75">
      <c r="B60" s="48" t="s">
        <v>335</v>
      </c>
      <c r="C60" s="47"/>
      <c r="D60" s="17"/>
      <c r="E60" s="17"/>
      <c r="F60" s="17"/>
      <c r="G60" s="17">
        <f>(D61*0.06)+(E58*0.04)+(F58*0.02)</f>
        <v>18962.775492</v>
      </c>
      <c r="H60" s="17"/>
      <c r="I60" s="17"/>
      <c r="J60" s="17">
        <f>(I61*0.06)+(H58*0.04)+(I58*0.02)</f>
        <v>23176.89351825664</v>
      </c>
      <c r="K60" s="17"/>
      <c r="L60" s="17"/>
      <c r="M60" s="18">
        <f>(L61*0.06)+(K58*0.04)+(L58*0.02)</f>
        <v>26847.170320766734</v>
      </c>
    </row>
    <row r="61" spans="2:13" ht="12.75">
      <c r="B61" s="48" t="s">
        <v>294</v>
      </c>
      <c r="C61" s="47"/>
      <c r="D61" s="17">
        <f>D57</f>
        <v>304000</v>
      </c>
      <c r="E61" s="17">
        <f>D57+E58+E59+E60</f>
        <v>313345.46</v>
      </c>
      <c r="F61" s="17">
        <f>E61+F58+F59+F60</f>
        <v>323162.6746</v>
      </c>
      <c r="G61" s="17">
        <f aca="true" t="shared" si="13" ref="G61:M61">F61+G58+G59+G60</f>
        <v>353631.49873</v>
      </c>
      <c r="H61" s="17">
        <f t="shared" si="13"/>
        <v>362404.9172961</v>
      </c>
      <c r="I61" s="17">
        <f t="shared" si="13"/>
        <v>374573.821519183</v>
      </c>
      <c r="J61" s="17">
        <f t="shared" si="13"/>
        <v>411652.84428721515</v>
      </c>
      <c r="K61" s="17">
        <f t="shared" si="13"/>
        <v>423390.7237144839</v>
      </c>
      <c r="L61" s="17">
        <f t="shared" si="13"/>
        <v>434001.82772457076</v>
      </c>
      <c r="M61" s="18">
        <f t="shared" si="13"/>
        <v>472484.3438757269</v>
      </c>
    </row>
    <row r="62" spans="2:13" ht="12.75">
      <c r="B62" s="50"/>
      <c r="C62" s="43"/>
      <c r="D62" s="17"/>
      <c r="E62" s="17"/>
      <c r="F62" s="17">
        <f aca="true" t="shared" si="14" ref="F62:M62">F66</f>
        <v>0</v>
      </c>
      <c r="G62" s="17">
        <f t="shared" si="14"/>
        <v>0</v>
      </c>
      <c r="H62" s="17">
        <f t="shared" si="14"/>
        <v>0</v>
      </c>
      <c r="I62" s="17">
        <f t="shared" si="14"/>
        <v>0</v>
      </c>
      <c r="J62" s="17">
        <f t="shared" si="14"/>
        <v>0</v>
      </c>
      <c r="K62" s="17">
        <f t="shared" si="14"/>
        <v>0</v>
      </c>
      <c r="L62" s="17">
        <f t="shared" si="14"/>
        <v>0</v>
      </c>
      <c r="M62" s="18">
        <f t="shared" si="14"/>
        <v>0</v>
      </c>
    </row>
    <row r="63" spans="2:13" ht="13.5" thickBot="1">
      <c r="B63" s="48"/>
      <c r="C63" s="47"/>
      <c r="D63" s="17"/>
      <c r="E63" s="17"/>
      <c r="F63" s="17"/>
      <c r="G63" s="17"/>
      <c r="H63" s="17"/>
      <c r="I63" s="17"/>
      <c r="J63" s="17"/>
      <c r="K63" s="17"/>
      <c r="L63" s="17"/>
      <c r="M63" s="18"/>
    </row>
    <row r="64" spans="2:13" ht="12.75">
      <c r="B64" s="280" t="s">
        <v>295</v>
      </c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2"/>
    </row>
    <row r="65" spans="2:13" ht="12.75">
      <c r="B65" s="340" t="s">
        <v>296</v>
      </c>
      <c r="C65" s="341"/>
      <c r="D65" s="17">
        <f>'Cap Wks'!E77</f>
        <v>103875.2570048234</v>
      </c>
      <c r="E65" s="17">
        <f>SFPBS!F31+SFPBS!F32</f>
        <v>0</v>
      </c>
      <c r="F65" s="17">
        <f>SFPBS!G31+SFPBS!G32</f>
        <v>0</v>
      </c>
      <c r="G65" s="17">
        <f>SFPBS!H31+SFPBS!H32</f>
        <v>0</v>
      </c>
      <c r="H65" s="17">
        <f>SFPBS!I31+SFPBS!I32</f>
        <v>0</v>
      </c>
      <c r="I65" s="17">
        <f>SFPBS!J31+SFPBS!J32</f>
        <v>0</v>
      </c>
      <c r="J65" s="17">
        <f>SFPBS!K31+SFPBS!K32</f>
        <v>0</v>
      </c>
      <c r="K65" s="17">
        <f>SFPBS!L31+SFPBS!L32</f>
        <v>0</v>
      </c>
      <c r="L65" s="17">
        <f>SFPBS!M31+SFPBS!M32</f>
        <v>0</v>
      </c>
      <c r="M65" s="18">
        <f>SFPBS!N31+SFPBS!N32</f>
        <v>0</v>
      </c>
    </row>
    <row r="66" spans="2:13" ht="12.75">
      <c r="B66" s="48" t="s">
        <v>298</v>
      </c>
      <c r="C66" s="47"/>
      <c r="D66" s="17">
        <v>110000</v>
      </c>
      <c r="E66" s="17">
        <f>E73</f>
        <v>0</v>
      </c>
      <c r="F66" s="17">
        <f aca="true" t="shared" si="15" ref="F66:M66">F73</f>
        <v>0</v>
      </c>
      <c r="G66" s="17">
        <f t="shared" si="15"/>
        <v>0</v>
      </c>
      <c r="H66" s="17">
        <f t="shared" si="15"/>
        <v>0</v>
      </c>
      <c r="I66" s="17">
        <f t="shared" si="15"/>
        <v>0</v>
      </c>
      <c r="J66" s="17">
        <f t="shared" si="15"/>
        <v>0</v>
      </c>
      <c r="K66" s="17">
        <f t="shared" si="15"/>
        <v>0</v>
      </c>
      <c r="L66" s="17">
        <f t="shared" si="15"/>
        <v>0</v>
      </c>
      <c r="M66" s="18">
        <f t="shared" si="15"/>
        <v>0</v>
      </c>
    </row>
    <row r="67" spans="2:13" ht="12.75">
      <c r="B67" s="50"/>
      <c r="C67" s="43"/>
      <c r="M67" s="141"/>
    </row>
    <row r="68" spans="2:13" ht="12.75">
      <c r="B68" s="136" t="s">
        <v>299</v>
      </c>
      <c r="C68" s="137"/>
      <c r="D68" s="134">
        <f>D65/D66</f>
        <v>0.9443205182256673</v>
      </c>
      <c r="E68" s="134"/>
      <c r="F68" s="134"/>
      <c r="G68" s="134"/>
      <c r="H68" s="134"/>
      <c r="I68" s="134"/>
      <c r="J68" s="134"/>
      <c r="K68" s="134"/>
      <c r="L68" s="134"/>
      <c r="M68" s="150"/>
    </row>
    <row r="69" spans="2:13" ht="13.5" thickBot="1">
      <c r="B69" s="148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51"/>
    </row>
  </sheetData>
  <mergeCells count="20">
    <mergeCell ref="B10:C10"/>
    <mergeCell ref="B11:C11"/>
    <mergeCell ref="B12:C12"/>
    <mergeCell ref="B2:M2"/>
    <mergeCell ref="B3:M3"/>
    <mergeCell ref="B4:M4"/>
    <mergeCell ref="B8:C8"/>
    <mergeCell ref="B65:C65"/>
    <mergeCell ref="B14:C14"/>
    <mergeCell ref="B20:C20"/>
    <mergeCell ref="B21:C21"/>
    <mergeCell ref="B16:C16"/>
    <mergeCell ref="B52:C52"/>
    <mergeCell ref="B22:C22"/>
    <mergeCell ref="B25:C25"/>
    <mergeCell ref="B26:C26"/>
    <mergeCell ref="B13:C13"/>
    <mergeCell ref="B29:C29"/>
    <mergeCell ref="B35:C35"/>
    <mergeCell ref="B45:C4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Footer>&amp;CPage &amp;P of &amp;N</oddFooter>
  </headerFooter>
  <rowBreaks count="1" manualBreakCount="1">
    <brk id="33" min="1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M55"/>
  <sheetViews>
    <sheetView workbookViewId="0" topLeftCell="A1">
      <selection activeCell="B1" sqref="B1:M1"/>
    </sheetView>
  </sheetViews>
  <sheetFormatPr defaultColWidth="9.140625" defaultRowHeight="12.75"/>
  <cols>
    <col min="1" max="2" width="6.421875" style="0" customWidth="1"/>
    <col min="3" max="3" width="35.140625" style="0" customWidth="1"/>
  </cols>
  <sheetData>
    <row r="1" spans="2:13" ht="23.25">
      <c r="B1" s="343" t="s">
        <v>351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5"/>
    </row>
    <row r="2" spans="2:13" ht="21">
      <c r="B2" s="346" t="s">
        <v>321</v>
      </c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8"/>
    </row>
    <row r="3" spans="2:13" ht="16.5" thickBot="1">
      <c r="B3" s="349" t="s">
        <v>118</v>
      </c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1"/>
    </row>
    <row r="4" spans="2:13" ht="12.75">
      <c r="B4" s="11"/>
      <c r="C4" s="12"/>
      <c r="D4" s="9" t="s">
        <v>0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6</v>
      </c>
      <c r="K4" s="9" t="s">
        <v>7</v>
      </c>
      <c r="L4" s="9" t="s">
        <v>8</v>
      </c>
      <c r="M4" s="10" t="s">
        <v>9</v>
      </c>
    </row>
    <row r="5" spans="2:13" ht="13.5" thickBot="1">
      <c r="B5" s="13"/>
      <c r="C5" s="14"/>
      <c r="D5" s="15" t="s">
        <v>119</v>
      </c>
      <c r="E5" s="15" t="s">
        <v>119</v>
      </c>
      <c r="F5" s="15" t="s">
        <v>119</v>
      </c>
      <c r="G5" s="15" t="s">
        <v>119</v>
      </c>
      <c r="H5" s="15" t="s">
        <v>119</v>
      </c>
      <c r="I5" s="15" t="s">
        <v>119</v>
      </c>
      <c r="J5" s="15" t="s">
        <v>119</v>
      </c>
      <c r="K5" s="15" t="s">
        <v>119</v>
      </c>
      <c r="L5" s="15" t="s">
        <v>119</v>
      </c>
      <c r="M5" s="16" t="s">
        <v>119</v>
      </c>
    </row>
    <row r="6" spans="2:13" ht="12.75">
      <c r="B6" s="280" t="s">
        <v>322</v>
      </c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2"/>
    </row>
    <row r="7" spans="2:13" ht="12.75">
      <c r="B7" s="340" t="s">
        <v>327</v>
      </c>
      <c r="C7" s="341"/>
      <c r="D7" s="17">
        <v>942</v>
      </c>
      <c r="E7" s="17">
        <f>D10</f>
        <v>1326</v>
      </c>
      <c r="F7" s="17">
        <f aca="true" t="shared" si="0" ref="F7:M7">E10</f>
        <v>4326</v>
      </c>
      <c r="G7" s="17">
        <f t="shared" si="0"/>
        <v>7576</v>
      </c>
      <c r="H7" s="17">
        <f t="shared" si="0"/>
        <v>7956</v>
      </c>
      <c r="I7" s="17">
        <f t="shared" si="0"/>
        <v>8356</v>
      </c>
      <c r="J7" s="17">
        <f t="shared" si="0"/>
        <v>8766</v>
      </c>
      <c r="K7" s="17">
        <f t="shared" si="0"/>
        <v>8201</v>
      </c>
      <c r="L7" s="17">
        <f t="shared" si="0"/>
        <v>8611</v>
      </c>
      <c r="M7" s="18">
        <f t="shared" si="0"/>
        <v>9091</v>
      </c>
    </row>
    <row r="8" spans="2:13" ht="12.75">
      <c r="B8" s="48" t="s">
        <v>328</v>
      </c>
      <c r="C8" s="47"/>
      <c r="D8" s="17">
        <v>450</v>
      </c>
      <c r="E8" s="17">
        <v>3000</v>
      </c>
      <c r="F8" s="17">
        <v>3250</v>
      </c>
      <c r="G8" s="17">
        <v>380</v>
      </c>
      <c r="H8" s="17">
        <v>400</v>
      </c>
      <c r="I8" s="17">
        <v>410</v>
      </c>
      <c r="J8" s="17">
        <v>435</v>
      </c>
      <c r="K8" s="17">
        <v>410</v>
      </c>
      <c r="L8" s="17">
        <v>480</v>
      </c>
      <c r="M8" s="18">
        <v>500</v>
      </c>
    </row>
    <row r="9" spans="2:13" ht="12.75">
      <c r="B9" s="336" t="s">
        <v>329</v>
      </c>
      <c r="C9" s="337"/>
      <c r="D9" s="55">
        <v>-66</v>
      </c>
      <c r="E9" s="55"/>
      <c r="F9" s="55"/>
      <c r="G9" s="55"/>
      <c r="H9" s="55"/>
      <c r="I9" s="55"/>
      <c r="J9" s="55">
        <v>-1000</v>
      </c>
      <c r="K9" s="55"/>
      <c r="L9" s="55"/>
      <c r="M9" s="56"/>
    </row>
    <row r="10" spans="2:13" ht="12.75">
      <c r="B10" s="361" t="s">
        <v>308</v>
      </c>
      <c r="C10" s="368"/>
      <c r="D10" s="77">
        <f>SUM(D7:D9)</f>
        <v>1326</v>
      </c>
      <c r="E10" s="77">
        <f aca="true" t="shared" si="1" ref="E10:M10">SUM(E7:E9)</f>
        <v>4326</v>
      </c>
      <c r="F10" s="77">
        <f t="shared" si="1"/>
        <v>7576</v>
      </c>
      <c r="G10" s="77">
        <f t="shared" si="1"/>
        <v>7956</v>
      </c>
      <c r="H10" s="77">
        <f t="shared" si="1"/>
        <v>8356</v>
      </c>
      <c r="I10" s="77">
        <f t="shared" si="1"/>
        <v>8766</v>
      </c>
      <c r="J10" s="77">
        <f t="shared" si="1"/>
        <v>8201</v>
      </c>
      <c r="K10" s="77">
        <f t="shared" si="1"/>
        <v>8611</v>
      </c>
      <c r="L10" s="77">
        <f t="shared" si="1"/>
        <v>9091</v>
      </c>
      <c r="M10" s="78">
        <f t="shared" si="1"/>
        <v>9591</v>
      </c>
    </row>
    <row r="11" spans="2:13" ht="13.5" thickBot="1">
      <c r="B11" s="336"/>
      <c r="C11" s="337"/>
      <c r="D11" s="51"/>
      <c r="E11" s="51"/>
      <c r="F11" s="51"/>
      <c r="G11" s="51"/>
      <c r="H11" s="51"/>
      <c r="I11" s="51"/>
      <c r="J11" s="51"/>
      <c r="K11" s="51"/>
      <c r="L11" s="51"/>
      <c r="M11" s="58"/>
    </row>
    <row r="12" spans="2:13" ht="12.75">
      <c r="B12" s="280" t="s">
        <v>323</v>
      </c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2"/>
    </row>
    <row r="13" spans="2:13" ht="12.75">
      <c r="B13" s="340" t="s">
        <v>327</v>
      </c>
      <c r="C13" s="341"/>
      <c r="D13" s="17">
        <v>1176</v>
      </c>
      <c r="E13" s="17">
        <f>D16</f>
        <v>1004</v>
      </c>
      <c r="F13" s="17">
        <f aca="true" t="shared" si="2" ref="F13:M13">E16</f>
        <v>1309</v>
      </c>
      <c r="G13" s="17">
        <f t="shared" si="2"/>
        <v>1389</v>
      </c>
      <c r="H13" s="17">
        <f t="shared" si="2"/>
        <v>1259</v>
      </c>
      <c r="I13" s="17">
        <f t="shared" si="2"/>
        <v>1629</v>
      </c>
      <c r="J13" s="17">
        <f t="shared" si="2"/>
        <v>1879</v>
      </c>
      <c r="K13" s="17">
        <f t="shared" si="2"/>
        <v>1529</v>
      </c>
      <c r="L13" s="17">
        <f t="shared" si="2"/>
        <v>1389</v>
      </c>
      <c r="M13" s="18">
        <f t="shared" si="2"/>
        <v>1309</v>
      </c>
    </row>
    <row r="14" spans="2:13" ht="12.75">
      <c r="B14" s="48" t="s">
        <v>328</v>
      </c>
      <c r="C14" s="47"/>
      <c r="D14" s="17">
        <v>550</v>
      </c>
      <c r="E14" s="17">
        <v>575</v>
      </c>
      <c r="F14" s="17">
        <v>600</v>
      </c>
      <c r="G14" s="17">
        <v>600</v>
      </c>
      <c r="H14" s="17">
        <v>620</v>
      </c>
      <c r="I14" s="17">
        <v>600</v>
      </c>
      <c r="J14" s="17">
        <v>400</v>
      </c>
      <c r="K14" s="17">
        <v>300</v>
      </c>
      <c r="L14" s="17">
        <v>350</v>
      </c>
      <c r="M14" s="18">
        <v>250</v>
      </c>
    </row>
    <row r="15" spans="2:13" ht="12.75">
      <c r="B15" s="336" t="s">
        <v>331</v>
      </c>
      <c r="C15" s="337"/>
      <c r="D15" s="55">
        <v>-722</v>
      </c>
      <c r="E15" s="55">
        <v>-270</v>
      </c>
      <c r="F15" s="55">
        <v>-520</v>
      </c>
      <c r="G15" s="55">
        <v>-730</v>
      </c>
      <c r="H15" s="55">
        <v>-250</v>
      </c>
      <c r="I15" s="55">
        <v>-350</v>
      </c>
      <c r="J15" s="55">
        <v>-750</v>
      </c>
      <c r="K15" s="55">
        <v>-440</v>
      </c>
      <c r="L15" s="55">
        <v>-430</v>
      </c>
      <c r="M15" s="56">
        <v>-250</v>
      </c>
    </row>
    <row r="16" spans="2:13" ht="12.75">
      <c r="B16" s="361" t="s">
        <v>308</v>
      </c>
      <c r="C16" s="368"/>
      <c r="D16" s="77">
        <f>SUM(D13:D15)</f>
        <v>1004</v>
      </c>
      <c r="E16" s="77">
        <f aca="true" t="shared" si="3" ref="E16:M16">SUM(E13:E15)</f>
        <v>1309</v>
      </c>
      <c r="F16" s="77">
        <f t="shared" si="3"/>
        <v>1389</v>
      </c>
      <c r="G16" s="77">
        <f t="shared" si="3"/>
        <v>1259</v>
      </c>
      <c r="H16" s="77">
        <f t="shared" si="3"/>
        <v>1629</v>
      </c>
      <c r="I16" s="77">
        <f t="shared" si="3"/>
        <v>1879</v>
      </c>
      <c r="J16" s="77">
        <f t="shared" si="3"/>
        <v>1529</v>
      </c>
      <c r="K16" s="77">
        <f t="shared" si="3"/>
        <v>1389</v>
      </c>
      <c r="L16" s="77">
        <f t="shared" si="3"/>
        <v>1309</v>
      </c>
      <c r="M16" s="78">
        <f t="shared" si="3"/>
        <v>1309</v>
      </c>
    </row>
    <row r="17" spans="2:13" ht="13.5" thickBot="1">
      <c r="B17" s="336"/>
      <c r="C17" s="337"/>
      <c r="D17" s="51"/>
      <c r="E17" s="51"/>
      <c r="F17" s="51"/>
      <c r="G17" s="51"/>
      <c r="H17" s="51"/>
      <c r="I17" s="51"/>
      <c r="J17" s="51"/>
      <c r="K17" s="51"/>
      <c r="L17" s="51"/>
      <c r="M17" s="58"/>
    </row>
    <row r="18" spans="2:13" ht="12.75">
      <c r="B18" s="280" t="s">
        <v>334</v>
      </c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2"/>
    </row>
    <row r="19" spans="2:13" ht="12.75">
      <c r="B19" s="340" t="s">
        <v>327</v>
      </c>
      <c r="C19" s="341"/>
      <c r="D19" s="17">
        <v>1778</v>
      </c>
      <c r="E19" s="17">
        <f>D22</f>
        <v>1608</v>
      </c>
      <c r="F19" s="17">
        <f aca="true" t="shared" si="4" ref="F19:M19">E22</f>
        <v>1908</v>
      </c>
      <c r="G19" s="17">
        <f t="shared" si="4"/>
        <v>2158</v>
      </c>
      <c r="H19" s="17">
        <f t="shared" si="4"/>
        <v>2258</v>
      </c>
      <c r="I19" s="17">
        <f t="shared" si="4"/>
        <v>2578</v>
      </c>
      <c r="J19" s="17">
        <f t="shared" si="4"/>
        <v>1678</v>
      </c>
      <c r="K19" s="17">
        <f t="shared" si="4"/>
        <v>1578</v>
      </c>
      <c r="L19" s="17">
        <f t="shared" si="4"/>
        <v>1428</v>
      </c>
      <c r="M19" s="18">
        <f t="shared" si="4"/>
        <v>1828</v>
      </c>
    </row>
    <row r="20" spans="2:13" ht="12.75">
      <c r="B20" s="48" t="s">
        <v>328</v>
      </c>
      <c r="C20" s="47"/>
      <c r="D20" s="17">
        <v>500</v>
      </c>
      <c r="E20" s="17">
        <v>550</v>
      </c>
      <c r="F20" s="17">
        <v>600</v>
      </c>
      <c r="G20" s="17">
        <v>600</v>
      </c>
      <c r="H20" s="17">
        <v>620</v>
      </c>
      <c r="I20" s="17">
        <v>600</v>
      </c>
      <c r="J20" s="17">
        <v>400</v>
      </c>
      <c r="K20" s="17">
        <v>350</v>
      </c>
      <c r="L20" s="17">
        <v>400</v>
      </c>
      <c r="M20" s="18">
        <v>300</v>
      </c>
    </row>
    <row r="21" spans="2:13" ht="12.75">
      <c r="B21" s="336" t="s">
        <v>331</v>
      </c>
      <c r="C21" s="337"/>
      <c r="D21" s="55">
        <v>-670</v>
      </c>
      <c r="E21" s="55">
        <v>-250</v>
      </c>
      <c r="F21" s="55">
        <v>-350</v>
      </c>
      <c r="G21" s="55">
        <v>-500</v>
      </c>
      <c r="H21" s="55">
        <v>-300</v>
      </c>
      <c r="I21" s="55">
        <v>-1500</v>
      </c>
      <c r="J21" s="55">
        <v>-500</v>
      </c>
      <c r="K21" s="55">
        <v>-500</v>
      </c>
      <c r="L21" s="55"/>
      <c r="M21" s="56">
        <v>-200</v>
      </c>
    </row>
    <row r="22" spans="2:13" ht="12.75">
      <c r="B22" s="361" t="s">
        <v>308</v>
      </c>
      <c r="C22" s="368"/>
      <c r="D22" s="77">
        <f>SUM(D19:D21)</f>
        <v>1608</v>
      </c>
      <c r="E22" s="77">
        <f aca="true" t="shared" si="5" ref="E22:M22">SUM(E19:E21)</f>
        <v>1908</v>
      </c>
      <c r="F22" s="77">
        <f t="shared" si="5"/>
        <v>2158</v>
      </c>
      <c r="G22" s="77">
        <f t="shared" si="5"/>
        <v>2258</v>
      </c>
      <c r="H22" s="77">
        <f t="shared" si="5"/>
        <v>2578</v>
      </c>
      <c r="I22" s="77">
        <f t="shared" si="5"/>
        <v>1678</v>
      </c>
      <c r="J22" s="77">
        <f t="shared" si="5"/>
        <v>1578</v>
      </c>
      <c r="K22" s="77">
        <f t="shared" si="5"/>
        <v>1428</v>
      </c>
      <c r="L22" s="77">
        <f t="shared" si="5"/>
        <v>1828</v>
      </c>
      <c r="M22" s="78">
        <f t="shared" si="5"/>
        <v>1928</v>
      </c>
    </row>
    <row r="23" spans="2:13" ht="13.5" thickBot="1">
      <c r="B23" s="336"/>
      <c r="C23" s="337"/>
      <c r="D23" s="51"/>
      <c r="E23" s="51"/>
      <c r="F23" s="51"/>
      <c r="G23" s="51"/>
      <c r="H23" s="51"/>
      <c r="I23" s="51"/>
      <c r="J23" s="51"/>
      <c r="K23" s="51"/>
      <c r="L23" s="51"/>
      <c r="M23" s="58"/>
    </row>
    <row r="24" spans="2:13" ht="12.75">
      <c r="B24" s="280" t="s">
        <v>324</v>
      </c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2"/>
    </row>
    <row r="25" spans="2:13" ht="12.75">
      <c r="B25" s="340" t="s">
        <v>327</v>
      </c>
      <c r="C25" s="341"/>
      <c r="D25" s="17">
        <v>623</v>
      </c>
      <c r="E25" s="17">
        <f>D28</f>
        <v>741</v>
      </c>
      <c r="F25" s="17">
        <f aca="true" t="shared" si="6" ref="F25:M25">E28</f>
        <v>901</v>
      </c>
      <c r="G25" s="17">
        <f t="shared" si="6"/>
        <v>1091</v>
      </c>
      <c r="H25" s="17">
        <f t="shared" si="6"/>
        <v>906</v>
      </c>
      <c r="I25" s="17">
        <f t="shared" si="6"/>
        <v>1156</v>
      </c>
      <c r="J25" s="17">
        <f t="shared" si="6"/>
        <v>1106</v>
      </c>
      <c r="K25" s="17">
        <f t="shared" si="6"/>
        <v>1106</v>
      </c>
      <c r="L25" s="17">
        <f t="shared" si="6"/>
        <v>816</v>
      </c>
      <c r="M25" s="18">
        <f t="shared" si="6"/>
        <v>966</v>
      </c>
    </row>
    <row r="26" spans="2:13" ht="12.75">
      <c r="B26" s="48" t="s">
        <v>328</v>
      </c>
      <c r="C26" s="47"/>
      <c r="D26" s="17">
        <v>200</v>
      </c>
      <c r="E26" s="17">
        <v>210</v>
      </c>
      <c r="F26" s="17">
        <v>240</v>
      </c>
      <c r="G26" s="17">
        <v>240</v>
      </c>
      <c r="H26" s="17">
        <v>250</v>
      </c>
      <c r="I26" s="17">
        <v>250</v>
      </c>
      <c r="J26" s="17">
        <v>150</v>
      </c>
      <c r="K26" s="17">
        <v>150</v>
      </c>
      <c r="L26" s="17">
        <v>150</v>
      </c>
      <c r="M26" s="18">
        <v>150</v>
      </c>
    </row>
    <row r="27" spans="2:13" ht="12.75">
      <c r="B27" s="336" t="s">
        <v>331</v>
      </c>
      <c r="C27" s="337"/>
      <c r="D27" s="55">
        <v>-82</v>
      </c>
      <c r="E27" s="55">
        <v>-50</v>
      </c>
      <c r="F27" s="55">
        <v>-50</v>
      </c>
      <c r="G27" s="55">
        <v>-425</v>
      </c>
      <c r="H27" s="55">
        <v>0</v>
      </c>
      <c r="I27" s="55">
        <v>-300</v>
      </c>
      <c r="J27" s="55">
        <v>-150</v>
      </c>
      <c r="K27" s="55">
        <v>-440</v>
      </c>
      <c r="L27" s="55">
        <v>0</v>
      </c>
      <c r="M27" s="56">
        <v>-200</v>
      </c>
    </row>
    <row r="28" spans="2:13" ht="12.75">
      <c r="B28" s="361" t="s">
        <v>308</v>
      </c>
      <c r="C28" s="368"/>
      <c r="D28" s="77">
        <f>SUM(D25:D27)</f>
        <v>741</v>
      </c>
      <c r="E28" s="77">
        <f aca="true" t="shared" si="7" ref="E28:M28">SUM(E25:E27)</f>
        <v>901</v>
      </c>
      <c r="F28" s="77">
        <f t="shared" si="7"/>
        <v>1091</v>
      </c>
      <c r="G28" s="77">
        <f t="shared" si="7"/>
        <v>906</v>
      </c>
      <c r="H28" s="77">
        <f t="shared" si="7"/>
        <v>1156</v>
      </c>
      <c r="I28" s="77">
        <f t="shared" si="7"/>
        <v>1106</v>
      </c>
      <c r="J28" s="77">
        <f t="shared" si="7"/>
        <v>1106</v>
      </c>
      <c r="K28" s="77">
        <f t="shared" si="7"/>
        <v>816</v>
      </c>
      <c r="L28" s="77">
        <f t="shared" si="7"/>
        <v>966</v>
      </c>
      <c r="M28" s="78">
        <f t="shared" si="7"/>
        <v>916</v>
      </c>
    </row>
    <row r="29" spans="2:13" ht="13.5" thickBot="1">
      <c r="B29" s="336"/>
      <c r="C29" s="337"/>
      <c r="D29" s="51"/>
      <c r="E29" s="51"/>
      <c r="F29" s="51"/>
      <c r="G29" s="51"/>
      <c r="H29" s="51"/>
      <c r="I29" s="51"/>
      <c r="J29" s="51"/>
      <c r="K29" s="51"/>
      <c r="L29" s="51"/>
      <c r="M29" s="58"/>
    </row>
    <row r="30" spans="2:13" ht="12.75">
      <c r="B30" s="280" t="s">
        <v>325</v>
      </c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2"/>
    </row>
    <row r="31" spans="2:13" ht="12.75">
      <c r="B31" s="340" t="s">
        <v>327</v>
      </c>
      <c r="C31" s="341"/>
      <c r="D31" s="17">
        <v>644</v>
      </c>
      <c r="E31" s="17">
        <f>D34</f>
        <v>910</v>
      </c>
      <c r="F31" s="17">
        <f aca="true" t="shared" si="8" ref="F31:M31">E34</f>
        <v>930</v>
      </c>
      <c r="G31" s="17">
        <f t="shared" si="8"/>
        <v>960</v>
      </c>
      <c r="H31" s="17">
        <f t="shared" si="8"/>
        <v>1015</v>
      </c>
      <c r="I31" s="17">
        <f t="shared" si="8"/>
        <v>1110</v>
      </c>
      <c r="J31" s="17">
        <f t="shared" si="8"/>
        <v>1205</v>
      </c>
      <c r="K31" s="17">
        <f t="shared" si="8"/>
        <v>1265</v>
      </c>
      <c r="L31" s="17">
        <f t="shared" si="8"/>
        <v>1315</v>
      </c>
      <c r="M31" s="18">
        <f t="shared" si="8"/>
        <v>1385</v>
      </c>
    </row>
    <row r="32" spans="2:13" ht="12.75">
      <c r="B32" s="48" t="s">
        <v>328</v>
      </c>
      <c r="C32" s="47"/>
      <c r="D32" s="17">
        <v>466</v>
      </c>
      <c r="E32" s="17">
        <v>100</v>
      </c>
      <c r="F32" s="17">
        <v>110</v>
      </c>
      <c r="G32" s="17">
        <v>110</v>
      </c>
      <c r="H32" s="17">
        <v>120</v>
      </c>
      <c r="I32" s="17">
        <v>120</v>
      </c>
      <c r="J32" s="17">
        <v>100</v>
      </c>
      <c r="K32" s="17">
        <v>100</v>
      </c>
      <c r="L32" s="17">
        <v>110</v>
      </c>
      <c r="M32" s="18">
        <v>100</v>
      </c>
    </row>
    <row r="33" spans="2:13" ht="12.75">
      <c r="B33" s="336" t="s">
        <v>331</v>
      </c>
      <c r="C33" s="337"/>
      <c r="D33" s="55">
        <v>-200</v>
      </c>
      <c r="E33" s="55">
        <v>-80</v>
      </c>
      <c r="F33" s="55">
        <v>-80</v>
      </c>
      <c r="G33" s="55">
        <v>-55</v>
      </c>
      <c r="H33" s="55">
        <v>-25</v>
      </c>
      <c r="I33" s="55">
        <v>-25</v>
      </c>
      <c r="J33" s="55">
        <v>-40</v>
      </c>
      <c r="K33" s="55">
        <v>-50</v>
      </c>
      <c r="L33" s="55">
        <v>-40</v>
      </c>
      <c r="M33" s="56">
        <v>-50</v>
      </c>
    </row>
    <row r="34" spans="2:13" ht="12.75">
      <c r="B34" s="361" t="s">
        <v>308</v>
      </c>
      <c r="C34" s="368"/>
      <c r="D34" s="77">
        <f>SUM(D31:D33)</f>
        <v>910</v>
      </c>
      <c r="E34" s="77">
        <f aca="true" t="shared" si="9" ref="E34:M34">SUM(E31:E33)</f>
        <v>930</v>
      </c>
      <c r="F34" s="77">
        <f t="shared" si="9"/>
        <v>960</v>
      </c>
      <c r="G34" s="77">
        <f t="shared" si="9"/>
        <v>1015</v>
      </c>
      <c r="H34" s="77">
        <f t="shared" si="9"/>
        <v>1110</v>
      </c>
      <c r="I34" s="77">
        <f t="shared" si="9"/>
        <v>1205</v>
      </c>
      <c r="J34" s="77">
        <f t="shared" si="9"/>
        <v>1265</v>
      </c>
      <c r="K34" s="77">
        <f t="shared" si="9"/>
        <v>1315</v>
      </c>
      <c r="L34" s="77">
        <f t="shared" si="9"/>
        <v>1385</v>
      </c>
      <c r="M34" s="78">
        <f t="shared" si="9"/>
        <v>1435</v>
      </c>
    </row>
    <row r="35" spans="2:13" ht="12.75">
      <c r="B35" s="374"/>
      <c r="C35" s="337"/>
      <c r="D35" s="51"/>
      <c r="E35" s="51"/>
      <c r="F35" s="51"/>
      <c r="G35" s="51"/>
      <c r="H35" s="51"/>
      <c r="I35" s="51"/>
      <c r="J35" s="51"/>
      <c r="K35" s="51"/>
      <c r="L35" s="51"/>
      <c r="M35" s="57"/>
    </row>
    <row r="36" spans="2:13" ht="12.75">
      <c r="B36" s="191"/>
      <c r="C36" s="47"/>
      <c r="D36" s="51"/>
      <c r="E36" s="51"/>
      <c r="F36" s="51"/>
      <c r="G36" s="51"/>
      <c r="H36" s="51"/>
      <c r="I36" s="51"/>
      <c r="J36" s="51"/>
      <c r="K36" s="51"/>
      <c r="L36" s="51"/>
      <c r="M36" s="57"/>
    </row>
    <row r="37" spans="2:13" ht="13.5" thickBot="1">
      <c r="B37" s="194"/>
      <c r="C37" s="155"/>
      <c r="D37" s="157"/>
      <c r="E37" s="157"/>
      <c r="F37" s="157"/>
      <c r="G37" s="157"/>
      <c r="H37" s="157"/>
      <c r="I37" s="157"/>
      <c r="J37" s="157"/>
      <c r="K37" s="157"/>
      <c r="L37" s="157"/>
      <c r="M37" s="179"/>
    </row>
    <row r="38" spans="2:13" ht="12.75">
      <c r="B38" s="312" t="s">
        <v>326</v>
      </c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5"/>
    </row>
    <row r="39" spans="2:13" ht="12.75">
      <c r="B39" s="340" t="s">
        <v>327</v>
      </c>
      <c r="C39" s="341"/>
      <c r="D39" s="17">
        <v>0</v>
      </c>
      <c r="E39" s="17">
        <f>D42</f>
        <v>1</v>
      </c>
      <c r="F39" s="17">
        <f aca="true" t="shared" si="10" ref="F39:M39">E42</f>
        <v>16</v>
      </c>
      <c r="G39" s="17">
        <f t="shared" si="10"/>
        <v>41</v>
      </c>
      <c r="H39" s="17">
        <f t="shared" si="10"/>
        <v>69</v>
      </c>
      <c r="I39" s="17">
        <f t="shared" si="10"/>
        <v>99</v>
      </c>
      <c r="J39" s="17">
        <f t="shared" si="10"/>
        <v>94</v>
      </c>
      <c r="K39" s="17">
        <f t="shared" si="10"/>
        <v>99</v>
      </c>
      <c r="L39" s="17">
        <f t="shared" si="10"/>
        <v>84</v>
      </c>
      <c r="M39" s="18">
        <f t="shared" si="10"/>
        <v>89</v>
      </c>
    </row>
    <row r="40" spans="2:13" ht="12.75">
      <c r="B40" s="48" t="s">
        <v>328</v>
      </c>
      <c r="C40" s="47"/>
      <c r="D40" s="17">
        <v>1</v>
      </c>
      <c r="E40" s="17">
        <v>15</v>
      </c>
      <c r="F40" s="17">
        <v>25</v>
      </c>
      <c r="G40" s="17">
        <v>28</v>
      </c>
      <c r="H40" s="17">
        <v>30</v>
      </c>
      <c r="I40" s="17">
        <v>5</v>
      </c>
      <c r="J40" s="17">
        <v>5</v>
      </c>
      <c r="K40" s="17">
        <v>5</v>
      </c>
      <c r="L40" s="17">
        <v>5</v>
      </c>
      <c r="M40" s="18">
        <v>6</v>
      </c>
    </row>
    <row r="41" spans="2:13" ht="12.75">
      <c r="B41" s="336" t="s">
        <v>331</v>
      </c>
      <c r="C41" s="337"/>
      <c r="D41" s="55">
        <v>0</v>
      </c>
      <c r="E41" s="55">
        <v>0</v>
      </c>
      <c r="F41" s="55"/>
      <c r="G41" s="55"/>
      <c r="H41" s="55"/>
      <c r="I41" s="55">
        <v>-10</v>
      </c>
      <c r="J41" s="55"/>
      <c r="K41" s="55">
        <v>-20</v>
      </c>
      <c r="L41" s="55"/>
      <c r="M41" s="56"/>
    </row>
    <row r="42" spans="2:13" ht="12.75">
      <c r="B42" s="361" t="s">
        <v>308</v>
      </c>
      <c r="C42" s="368"/>
      <c r="D42" s="77">
        <f>SUM(D39:D41)</f>
        <v>1</v>
      </c>
      <c r="E42" s="77">
        <f aca="true" t="shared" si="11" ref="E42:M42">SUM(E39:E41)</f>
        <v>16</v>
      </c>
      <c r="F42" s="77">
        <f t="shared" si="11"/>
        <v>41</v>
      </c>
      <c r="G42" s="77">
        <f t="shared" si="11"/>
        <v>69</v>
      </c>
      <c r="H42" s="77">
        <f t="shared" si="11"/>
        <v>99</v>
      </c>
      <c r="I42" s="77">
        <f t="shared" si="11"/>
        <v>94</v>
      </c>
      <c r="J42" s="77">
        <f t="shared" si="11"/>
        <v>99</v>
      </c>
      <c r="K42" s="77">
        <f t="shared" si="11"/>
        <v>84</v>
      </c>
      <c r="L42" s="77">
        <f t="shared" si="11"/>
        <v>89</v>
      </c>
      <c r="M42" s="78">
        <f t="shared" si="11"/>
        <v>95</v>
      </c>
    </row>
    <row r="43" spans="2:13" ht="13.5" thickBot="1">
      <c r="B43" s="336"/>
      <c r="C43" s="337"/>
      <c r="D43" s="51"/>
      <c r="E43" s="51"/>
      <c r="F43" s="51"/>
      <c r="G43" s="51"/>
      <c r="H43" s="51"/>
      <c r="I43" s="51"/>
      <c r="J43" s="51"/>
      <c r="K43" s="51"/>
      <c r="L43" s="51"/>
      <c r="M43" s="58"/>
    </row>
    <row r="44" spans="2:13" ht="12.75">
      <c r="B44" s="280" t="s">
        <v>330</v>
      </c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2"/>
    </row>
    <row r="45" spans="2:13" ht="12.75">
      <c r="B45" s="340" t="s">
        <v>327</v>
      </c>
      <c r="C45" s="341"/>
      <c r="D45" s="17"/>
      <c r="E45" s="17"/>
      <c r="F45" s="17">
        <f>E48</f>
        <v>705</v>
      </c>
      <c r="G45" s="17">
        <f aca="true" t="shared" si="12" ref="G45:M45">F48</f>
        <v>1685</v>
      </c>
      <c r="H45" s="17">
        <f t="shared" si="12"/>
        <v>2237</v>
      </c>
      <c r="I45" s="17">
        <f t="shared" si="12"/>
        <v>3002</v>
      </c>
      <c r="J45" s="17">
        <f t="shared" si="12"/>
        <v>2507</v>
      </c>
      <c r="K45" s="17">
        <f t="shared" si="12"/>
        <v>2132</v>
      </c>
      <c r="L45" s="17">
        <f t="shared" si="12"/>
        <v>2102</v>
      </c>
      <c r="M45" s="18">
        <f t="shared" si="12"/>
        <v>2062</v>
      </c>
    </row>
    <row r="46" spans="2:13" ht="12.75">
      <c r="B46" s="48" t="s">
        <v>328</v>
      </c>
      <c r="C46" s="47"/>
      <c r="D46" s="17"/>
      <c r="E46" s="17">
        <v>705</v>
      </c>
      <c r="F46" s="17">
        <v>980</v>
      </c>
      <c r="G46" s="17">
        <v>742</v>
      </c>
      <c r="H46" s="17">
        <v>790</v>
      </c>
      <c r="I46" s="17">
        <v>220</v>
      </c>
      <c r="J46" s="17">
        <v>185</v>
      </c>
      <c r="K46" s="17">
        <v>220</v>
      </c>
      <c r="L46" s="17">
        <v>490</v>
      </c>
      <c r="M46" s="18">
        <v>269</v>
      </c>
    </row>
    <row r="47" spans="2:13" ht="12.75">
      <c r="B47" s="336" t="s">
        <v>331</v>
      </c>
      <c r="C47" s="337"/>
      <c r="D47" s="55"/>
      <c r="E47" s="55"/>
      <c r="F47" s="55"/>
      <c r="G47" s="55">
        <v>-190</v>
      </c>
      <c r="H47" s="55">
        <v>-25</v>
      </c>
      <c r="I47" s="55">
        <v>-715</v>
      </c>
      <c r="J47" s="55">
        <v>-560</v>
      </c>
      <c r="K47" s="55">
        <v>-250</v>
      </c>
      <c r="L47" s="55">
        <v>-530</v>
      </c>
      <c r="M47" s="56">
        <v>-300</v>
      </c>
    </row>
    <row r="48" spans="2:13" ht="12.75">
      <c r="B48" s="361" t="s">
        <v>308</v>
      </c>
      <c r="C48" s="368"/>
      <c r="D48" s="77"/>
      <c r="E48" s="77">
        <f>SUM(E45:E47)</f>
        <v>705</v>
      </c>
      <c r="F48" s="77">
        <f>SUM(F45:F47)</f>
        <v>1685</v>
      </c>
      <c r="G48" s="77">
        <f aca="true" t="shared" si="13" ref="G48:M48">SUM(G45:G47)</f>
        <v>2237</v>
      </c>
      <c r="H48" s="77">
        <f t="shared" si="13"/>
        <v>3002</v>
      </c>
      <c r="I48" s="77">
        <f t="shared" si="13"/>
        <v>2507</v>
      </c>
      <c r="J48" s="77">
        <f t="shared" si="13"/>
        <v>2132</v>
      </c>
      <c r="K48" s="77">
        <f t="shared" si="13"/>
        <v>2102</v>
      </c>
      <c r="L48" s="77">
        <f t="shared" si="13"/>
        <v>2062</v>
      </c>
      <c r="M48" s="78">
        <f t="shared" si="13"/>
        <v>2031</v>
      </c>
    </row>
    <row r="49" spans="2:13" ht="13.5" thickBot="1">
      <c r="B49" s="336"/>
      <c r="C49" s="337"/>
      <c r="D49" s="51"/>
      <c r="E49" s="51"/>
      <c r="F49" s="51"/>
      <c r="G49" s="51"/>
      <c r="H49" s="51"/>
      <c r="I49" s="51"/>
      <c r="J49" s="51"/>
      <c r="K49" s="51"/>
      <c r="L49" s="51"/>
      <c r="M49" s="58"/>
    </row>
    <row r="50" spans="2:13" ht="12.75">
      <c r="B50" s="280" t="s">
        <v>332</v>
      </c>
      <c r="C50" s="281"/>
      <c r="D50" s="281"/>
      <c r="E50" s="281"/>
      <c r="F50" s="281"/>
      <c r="G50" s="281"/>
      <c r="H50" s="281"/>
      <c r="I50" s="281"/>
      <c r="J50" s="281"/>
      <c r="K50" s="281"/>
      <c r="L50" s="281"/>
      <c r="M50" s="282"/>
    </row>
    <row r="51" spans="2:13" ht="12.75">
      <c r="B51" s="340" t="s">
        <v>327</v>
      </c>
      <c r="C51" s="341"/>
      <c r="D51" s="17">
        <f aca="true" t="shared" si="14" ref="D51:M51">D7+D13+D19+D25+D31+D39+D45</f>
        <v>5163</v>
      </c>
      <c r="E51" s="17">
        <f t="shared" si="14"/>
        <v>5590</v>
      </c>
      <c r="F51" s="17">
        <f t="shared" si="14"/>
        <v>10095</v>
      </c>
      <c r="G51" s="17">
        <f t="shared" si="14"/>
        <v>14900</v>
      </c>
      <c r="H51" s="17">
        <f t="shared" si="14"/>
        <v>15700</v>
      </c>
      <c r="I51" s="17">
        <f t="shared" si="14"/>
        <v>17930</v>
      </c>
      <c r="J51" s="17">
        <f t="shared" si="14"/>
        <v>17235</v>
      </c>
      <c r="K51" s="17">
        <f t="shared" si="14"/>
        <v>15910</v>
      </c>
      <c r="L51" s="17">
        <f t="shared" si="14"/>
        <v>15745</v>
      </c>
      <c r="M51" s="18">
        <f t="shared" si="14"/>
        <v>16730</v>
      </c>
    </row>
    <row r="52" spans="2:13" ht="12.75">
      <c r="B52" s="48" t="s">
        <v>328</v>
      </c>
      <c r="C52" s="47"/>
      <c r="D52" s="17">
        <f aca="true" t="shared" si="15" ref="D52:M52">D8+D14+D20+D26+D32+D40+D46</f>
        <v>2167</v>
      </c>
      <c r="E52" s="17">
        <f t="shared" si="15"/>
        <v>5155</v>
      </c>
      <c r="F52" s="17">
        <f t="shared" si="15"/>
        <v>5805</v>
      </c>
      <c r="G52" s="17">
        <f t="shared" si="15"/>
        <v>2700</v>
      </c>
      <c r="H52" s="17">
        <f t="shared" si="15"/>
        <v>2830</v>
      </c>
      <c r="I52" s="17">
        <f t="shared" si="15"/>
        <v>2205</v>
      </c>
      <c r="J52" s="17">
        <f t="shared" si="15"/>
        <v>1675</v>
      </c>
      <c r="K52" s="17">
        <f t="shared" si="15"/>
        <v>1535</v>
      </c>
      <c r="L52" s="17">
        <f t="shared" si="15"/>
        <v>1985</v>
      </c>
      <c r="M52" s="18">
        <f t="shared" si="15"/>
        <v>1575</v>
      </c>
    </row>
    <row r="53" spans="2:13" ht="12.75">
      <c r="B53" s="336" t="s">
        <v>331</v>
      </c>
      <c r="C53" s="337"/>
      <c r="D53" s="124">
        <f aca="true" t="shared" si="16" ref="D53:M53">D9+D15+D21+D27+D33+D41+D47</f>
        <v>-1740</v>
      </c>
      <c r="E53" s="124">
        <f t="shared" si="16"/>
        <v>-650</v>
      </c>
      <c r="F53" s="124">
        <f t="shared" si="16"/>
        <v>-1000</v>
      </c>
      <c r="G53" s="124">
        <f t="shared" si="16"/>
        <v>-1900</v>
      </c>
      <c r="H53" s="124">
        <f t="shared" si="16"/>
        <v>-600</v>
      </c>
      <c r="I53" s="124">
        <f t="shared" si="16"/>
        <v>-2900</v>
      </c>
      <c r="J53" s="124">
        <f t="shared" si="16"/>
        <v>-3000</v>
      </c>
      <c r="K53" s="124">
        <f t="shared" si="16"/>
        <v>-1700</v>
      </c>
      <c r="L53" s="124">
        <f t="shared" si="16"/>
        <v>-1000</v>
      </c>
      <c r="M53" s="125">
        <f t="shared" si="16"/>
        <v>-1000</v>
      </c>
    </row>
    <row r="54" spans="2:13" ht="12.75">
      <c r="B54" s="361" t="s">
        <v>333</v>
      </c>
      <c r="C54" s="368"/>
      <c r="D54" s="77">
        <f>SUM(D51:D53)</f>
        <v>5590</v>
      </c>
      <c r="E54" s="77">
        <f aca="true" t="shared" si="17" ref="E54:M54">SUM(E51:E53)</f>
        <v>10095</v>
      </c>
      <c r="F54" s="77">
        <f t="shared" si="17"/>
        <v>14900</v>
      </c>
      <c r="G54" s="77">
        <f t="shared" si="17"/>
        <v>15700</v>
      </c>
      <c r="H54" s="77">
        <f t="shared" si="17"/>
        <v>17930</v>
      </c>
      <c r="I54" s="77">
        <f t="shared" si="17"/>
        <v>17235</v>
      </c>
      <c r="J54" s="77">
        <f t="shared" si="17"/>
        <v>15910</v>
      </c>
      <c r="K54" s="77">
        <f t="shared" si="17"/>
        <v>15745</v>
      </c>
      <c r="L54" s="77">
        <f t="shared" si="17"/>
        <v>16730</v>
      </c>
      <c r="M54" s="78">
        <f t="shared" si="17"/>
        <v>17305</v>
      </c>
    </row>
    <row r="55" spans="2:13" ht="13.5" thickBot="1">
      <c r="B55" s="375"/>
      <c r="C55" s="376"/>
      <c r="D55" s="157"/>
      <c r="E55" s="157"/>
      <c r="F55" s="157"/>
      <c r="G55" s="157"/>
      <c r="H55" s="157"/>
      <c r="I55" s="157"/>
      <c r="J55" s="157"/>
      <c r="K55" s="157"/>
      <c r="L55" s="157"/>
      <c r="M55" s="179"/>
    </row>
  </sheetData>
  <mergeCells count="35">
    <mergeCell ref="B55:C55"/>
    <mergeCell ref="B49:C49"/>
    <mergeCell ref="B51:C51"/>
    <mergeCell ref="B53:C53"/>
    <mergeCell ref="B54:C54"/>
    <mergeCell ref="B47:C47"/>
    <mergeCell ref="B48:C48"/>
    <mergeCell ref="B43:C43"/>
    <mergeCell ref="B45:C45"/>
    <mergeCell ref="B35:C35"/>
    <mergeCell ref="B39:C39"/>
    <mergeCell ref="B41:C41"/>
    <mergeCell ref="B42:C42"/>
    <mergeCell ref="B33:C33"/>
    <mergeCell ref="B34:C34"/>
    <mergeCell ref="B29:C29"/>
    <mergeCell ref="B31:C31"/>
    <mergeCell ref="B23:C23"/>
    <mergeCell ref="B25:C25"/>
    <mergeCell ref="B27:C27"/>
    <mergeCell ref="B28:C28"/>
    <mergeCell ref="B21:C21"/>
    <mergeCell ref="B22:C22"/>
    <mergeCell ref="B17:C17"/>
    <mergeCell ref="B19:C19"/>
    <mergeCell ref="B11:C11"/>
    <mergeCell ref="B13:C13"/>
    <mergeCell ref="B15:C15"/>
    <mergeCell ref="B16:C16"/>
    <mergeCell ref="B9:C9"/>
    <mergeCell ref="B10:C10"/>
    <mergeCell ref="B1:M1"/>
    <mergeCell ref="B2:M2"/>
    <mergeCell ref="B3:M3"/>
    <mergeCell ref="B7:C7"/>
  </mergeCells>
  <printOptions/>
  <pageMargins left="0.75" right="0.75" top="1" bottom="1" header="0.5" footer="0.5"/>
  <pageSetup horizontalDpi="600" verticalDpi="600" orientation="landscape" paperSize="9" scale="90" r:id="rId1"/>
  <headerFooter alignWithMargins="0">
    <oddFooter>&amp;CPage &amp;P of &amp;N</oddFooter>
  </headerFooter>
  <rowBreaks count="1" manualBreakCount="1">
    <brk id="3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O32"/>
  <sheetViews>
    <sheetView showGridLines="0" zoomScaleSheetLayoutView="100" workbookViewId="0" topLeftCell="A1">
      <selection activeCell="B2" sqref="B2:M2"/>
    </sheetView>
  </sheetViews>
  <sheetFormatPr defaultColWidth="9.140625" defaultRowHeight="12.75"/>
  <cols>
    <col min="1" max="1" width="7.7109375" style="0" customWidth="1"/>
    <col min="2" max="2" width="35.140625" style="0" customWidth="1"/>
    <col min="3" max="13" width="11.00390625" style="0" customWidth="1"/>
    <col min="15" max="15" width="11.00390625" style="0" bestFit="1" customWidth="1"/>
  </cols>
  <sheetData>
    <row r="1" ht="13.5" thickBot="1"/>
    <row r="2" spans="2:13" ht="23.25">
      <c r="B2" s="343" t="s">
        <v>351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5"/>
    </row>
    <row r="3" spans="2:13" ht="21">
      <c r="B3" s="346" t="s">
        <v>202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8"/>
    </row>
    <row r="4" spans="2:13" ht="16.5" thickBot="1">
      <c r="B4" s="349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1"/>
    </row>
    <row r="5" spans="2:13" ht="12.75">
      <c r="B5" s="11"/>
      <c r="C5" s="12"/>
      <c r="D5" s="9" t="s">
        <v>0</v>
      </c>
      <c r="E5" s="9" t="s">
        <v>1</v>
      </c>
      <c r="F5" s="9" t="s">
        <v>2</v>
      </c>
      <c r="G5" s="9" t="s">
        <v>3</v>
      </c>
      <c r="H5" s="9" t="s">
        <v>4</v>
      </c>
      <c r="I5" s="9" t="s">
        <v>5</v>
      </c>
      <c r="J5" s="9" t="s">
        <v>6</v>
      </c>
      <c r="K5" s="9" t="s">
        <v>7</v>
      </c>
      <c r="L5" s="9" t="s">
        <v>8</v>
      </c>
      <c r="M5" s="10" t="s">
        <v>9</v>
      </c>
    </row>
    <row r="6" spans="2:13" ht="13.5" thickBot="1">
      <c r="B6" s="13"/>
      <c r="C6" s="14"/>
      <c r="D6" s="15"/>
      <c r="E6" s="15"/>
      <c r="F6" s="15"/>
      <c r="G6" s="15"/>
      <c r="H6" s="15"/>
      <c r="I6" s="15"/>
      <c r="J6" s="15"/>
      <c r="K6" s="15"/>
      <c r="L6" s="15"/>
      <c r="M6" s="16"/>
    </row>
    <row r="7" spans="2:13" ht="12.75">
      <c r="B7" s="363"/>
      <c r="C7" s="364"/>
      <c r="D7" s="281"/>
      <c r="E7" s="281"/>
      <c r="F7" s="281"/>
      <c r="G7" s="281"/>
      <c r="H7" s="281"/>
      <c r="I7" s="281"/>
      <c r="J7" s="281"/>
      <c r="K7" s="281"/>
      <c r="L7" s="281"/>
      <c r="M7" s="282"/>
    </row>
    <row r="8" spans="2:13" ht="12.75">
      <c r="B8" s="359" t="s">
        <v>184</v>
      </c>
      <c r="C8" s="360"/>
      <c r="D8" s="284"/>
      <c r="E8" s="284"/>
      <c r="F8" s="284"/>
      <c r="G8" s="284"/>
      <c r="H8" s="284"/>
      <c r="I8" s="284"/>
      <c r="J8" s="284"/>
      <c r="K8" s="284"/>
      <c r="L8" s="284"/>
      <c r="M8" s="285"/>
    </row>
    <row r="9" spans="2:13" ht="12.75">
      <c r="B9" s="92" t="s">
        <v>187</v>
      </c>
      <c r="C9" s="93"/>
      <c r="D9" s="96">
        <v>0.06</v>
      </c>
      <c r="E9" s="96">
        <v>0.08</v>
      </c>
      <c r="F9" s="96">
        <v>0.08</v>
      </c>
      <c r="G9" s="96">
        <v>0.075</v>
      </c>
      <c r="H9" s="96">
        <v>0.075</v>
      </c>
      <c r="I9" s="96">
        <v>0.065</v>
      </c>
      <c r="J9" s="96">
        <v>0.065</v>
      </c>
      <c r="K9" s="96">
        <v>0.065</v>
      </c>
      <c r="L9" s="96">
        <v>0.065</v>
      </c>
      <c r="M9" s="97">
        <v>0.065</v>
      </c>
    </row>
    <row r="10" spans="2:13" ht="12.75">
      <c r="B10" s="92" t="s">
        <v>186</v>
      </c>
      <c r="C10" s="93"/>
      <c r="D10" s="96">
        <v>0.035</v>
      </c>
      <c r="E10" s="96">
        <v>0.035</v>
      </c>
      <c r="F10" s="96">
        <v>0.035</v>
      </c>
      <c r="G10" s="96">
        <v>0.035</v>
      </c>
      <c r="H10" s="96">
        <v>0.035</v>
      </c>
      <c r="I10" s="96">
        <v>0.035</v>
      </c>
      <c r="J10" s="96">
        <v>0.035</v>
      </c>
      <c r="K10" s="96">
        <v>0.035</v>
      </c>
      <c r="L10" s="96">
        <v>0.035</v>
      </c>
      <c r="M10" s="97">
        <v>0.035</v>
      </c>
    </row>
    <row r="11" spans="2:13" ht="12.75">
      <c r="B11" s="92" t="s">
        <v>188</v>
      </c>
      <c r="C11" s="93"/>
      <c r="D11" s="96">
        <v>0.03</v>
      </c>
      <c r="E11" s="96">
        <v>0.03</v>
      </c>
      <c r="F11" s="96">
        <v>0.03</v>
      </c>
      <c r="G11" s="96">
        <v>0.03</v>
      </c>
      <c r="H11" s="96">
        <v>0.03</v>
      </c>
      <c r="I11" s="96">
        <v>0.03</v>
      </c>
      <c r="J11" s="96">
        <v>0.03</v>
      </c>
      <c r="K11" s="96">
        <v>0.03</v>
      </c>
      <c r="L11" s="96">
        <v>0.03</v>
      </c>
      <c r="M11" s="97">
        <v>0.03</v>
      </c>
    </row>
    <row r="12" spans="2:13" ht="12.75">
      <c r="B12" s="92" t="s">
        <v>189</v>
      </c>
      <c r="C12" s="93"/>
      <c r="D12" s="96">
        <v>0.03</v>
      </c>
      <c r="E12" s="96">
        <v>0.03</v>
      </c>
      <c r="F12" s="96">
        <v>0.03</v>
      </c>
      <c r="G12" s="96">
        <v>0.03</v>
      </c>
      <c r="H12" s="96">
        <v>0.03</v>
      </c>
      <c r="I12" s="96">
        <v>0.03</v>
      </c>
      <c r="J12" s="96">
        <v>0.03</v>
      </c>
      <c r="K12" s="96">
        <v>0.03</v>
      </c>
      <c r="L12" s="96">
        <v>0.03</v>
      </c>
      <c r="M12" s="97">
        <v>0.03</v>
      </c>
    </row>
    <row r="13" spans="2:13" ht="12.75">
      <c r="B13" s="92" t="s">
        <v>190</v>
      </c>
      <c r="C13" s="93"/>
      <c r="D13" s="96">
        <v>0.045</v>
      </c>
      <c r="E13" s="96">
        <v>0.045</v>
      </c>
      <c r="F13" s="96">
        <v>0.045</v>
      </c>
      <c r="G13" s="96">
        <v>0.045</v>
      </c>
      <c r="H13" s="96">
        <v>0.045</v>
      </c>
      <c r="I13" s="96">
        <v>0.045</v>
      </c>
      <c r="J13" s="96">
        <v>0.045</v>
      </c>
      <c r="K13" s="96">
        <v>0.045</v>
      </c>
      <c r="L13" s="96">
        <v>0.045</v>
      </c>
      <c r="M13" s="97">
        <v>0.045</v>
      </c>
    </row>
    <row r="14" spans="2:13" ht="12.75">
      <c r="B14" s="92" t="s">
        <v>24</v>
      </c>
      <c r="C14" s="93"/>
      <c r="D14" s="96"/>
      <c r="E14" s="96"/>
      <c r="F14" s="96"/>
      <c r="G14" s="96"/>
      <c r="H14" s="96"/>
      <c r="I14" s="96"/>
      <c r="J14" s="96"/>
      <c r="K14" s="96"/>
      <c r="L14" s="96"/>
      <c r="M14" s="97"/>
    </row>
    <row r="15" spans="2:13" ht="12.75">
      <c r="B15" s="92" t="s">
        <v>191</v>
      </c>
      <c r="C15" s="93"/>
      <c r="D15" s="96">
        <v>0.045</v>
      </c>
      <c r="E15" s="96">
        <v>0.045</v>
      </c>
      <c r="F15" s="96">
        <v>0.045</v>
      </c>
      <c r="G15" s="96">
        <v>0.045</v>
      </c>
      <c r="H15" s="96">
        <v>0.045</v>
      </c>
      <c r="I15" s="96">
        <v>0.045</v>
      </c>
      <c r="J15" s="96">
        <v>0.045</v>
      </c>
      <c r="K15" s="96">
        <v>0.045</v>
      </c>
      <c r="L15" s="96">
        <v>0.045</v>
      </c>
      <c r="M15" s="97">
        <v>0.045</v>
      </c>
    </row>
    <row r="16" spans="2:13" ht="12.75">
      <c r="B16" s="92" t="s">
        <v>192</v>
      </c>
      <c r="C16" s="93"/>
      <c r="D16" s="96">
        <v>0.03</v>
      </c>
      <c r="E16" s="96">
        <v>0.03</v>
      </c>
      <c r="F16" s="96">
        <v>0.03</v>
      </c>
      <c r="G16" s="96">
        <v>0.03</v>
      </c>
      <c r="H16" s="96">
        <v>0.03</v>
      </c>
      <c r="I16" s="96">
        <v>0.03</v>
      </c>
      <c r="J16" s="96">
        <v>0.03</v>
      </c>
      <c r="K16" s="96">
        <v>0.03</v>
      </c>
      <c r="L16" s="96">
        <v>0.03</v>
      </c>
      <c r="M16" s="97">
        <v>0.03</v>
      </c>
    </row>
    <row r="17" spans="2:13" ht="12.75">
      <c r="B17" s="94"/>
      <c r="C17" s="95"/>
      <c r="D17" s="96"/>
      <c r="E17" s="89"/>
      <c r="F17" s="89"/>
      <c r="G17" s="89"/>
      <c r="H17" s="89"/>
      <c r="I17" s="89"/>
      <c r="J17" s="89"/>
      <c r="K17" s="89"/>
      <c r="L17" s="89"/>
      <c r="M17" s="90"/>
    </row>
    <row r="18" spans="2:13" ht="12.75">
      <c r="B18" s="359" t="s">
        <v>185</v>
      </c>
      <c r="C18" s="360"/>
      <c r="D18" s="287"/>
      <c r="E18" s="287"/>
      <c r="F18" s="287"/>
      <c r="G18" s="287"/>
      <c r="H18" s="287"/>
      <c r="I18" s="287"/>
      <c r="J18" s="287"/>
      <c r="K18" s="287"/>
      <c r="L18" s="287"/>
      <c r="M18" s="288"/>
    </row>
    <row r="19" spans="1:13" ht="12.75">
      <c r="A19" s="91"/>
      <c r="B19" s="92" t="s">
        <v>13</v>
      </c>
      <c r="C19" s="93"/>
      <c r="D19" s="96">
        <v>0.055</v>
      </c>
      <c r="E19" s="96">
        <v>0.055</v>
      </c>
      <c r="F19" s="96">
        <v>0.055</v>
      </c>
      <c r="G19" s="96">
        <v>0.055</v>
      </c>
      <c r="H19" s="96">
        <v>0.055</v>
      </c>
      <c r="I19" s="96">
        <v>0.06</v>
      </c>
      <c r="J19" s="96">
        <v>0.06</v>
      </c>
      <c r="K19" s="96">
        <v>0.06</v>
      </c>
      <c r="L19" s="96">
        <v>0.06</v>
      </c>
      <c r="M19" s="97">
        <v>0.06</v>
      </c>
    </row>
    <row r="20" spans="1:13" ht="12.75">
      <c r="A20" s="91"/>
      <c r="B20" s="92" t="s">
        <v>193</v>
      </c>
      <c r="C20" s="93"/>
      <c r="D20" s="96">
        <v>0.045</v>
      </c>
      <c r="E20" s="96">
        <v>0.045</v>
      </c>
      <c r="F20" s="96">
        <v>0.045</v>
      </c>
      <c r="G20" s="96">
        <v>0.045</v>
      </c>
      <c r="H20" s="96">
        <v>0.045</v>
      </c>
      <c r="I20" s="96">
        <v>0.045</v>
      </c>
      <c r="J20" s="96">
        <v>0.045</v>
      </c>
      <c r="K20" s="96">
        <v>0.045</v>
      </c>
      <c r="L20" s="96">
        <v>0.045</v>
      </c>
      <c r="M20" s="97">
        <v>0.045</v>
      </c>
    </row>
    <row r="21" spans="1:13" ht="12.75">
      <c r="A21" s="91"/>
      <c r="B21" s="92" t="s">
        <v>194</v>
      </c>
      <c r="C21" s="93"/>
      <c r="D21" s="96">
        <v>0.08</v>
      </c>
      <c r="E21" s="96">
        <v>0.1</v>
      </c>
      <c r="F21" s="96">
        <v>0.1</v>
      </c>
      <c r="G21" s="96">
        <v>0.1</v>
      </c>
      <c r="H21" s="96">
        <v>0.1</v>
      </c>
      <c r="I21" s="96">
        <v>0.1</v>
      </c>
      <c r="J21" s="96">
        <v>0.1</v>
      </c>
      <c r="K21" s="96">
        <v>0.1</v>
      </c>
      <c r="L21" s="96">
        <v>0.1</v>
      </c>
      <c r="M21" s="97">
        <v>0.1</v>
      </c>
    </row>
    <row r="22" spans="1:13" ht="12.75">
      <c r="A22" s="91"/>
      <c r="B22" s="92" t="s">
        <v>301</v>
      </c>
      <c r="C22" s="93"/>
      <c r="D22" s="96"/>
      <c r="E22" s="96"/>
      <c r="F22" s="96"/>
      <c r="G22" s="96"/>
      <c r="H22" s="96"/>
      <c r="I22" s="96"/>
      <c r="J22" s="96"/>
      <c r="K22" s="96"/>
      <c r="L22" s="96"/>
      <c r="M22" s="97"/>
    </row>
    <row r="23" spans="1:13" ht="12.75">
      <c r="A23" s="91"/>
      <c r="B23" s="92" t="s">
        <v>196</v>
      </c>
      <c r="C23" s="93"/>
      <c r="D23" s="96">
        <v>0.052</v>
      </c>
      <c r="E23" s="96">
        <v>0.053</v>
      </c>
      <c r="F23" s="96">
        <v>0.054</v>
      </c>
      <c r="G23" s="96">
        <v>0.055</v>
      </c>
      <c r="H23" s="96">
        <v>0.056</v>
      </c>
      <c r="I23" s="96">
        <v>0.057</v>
      </c>
      <c r="J23" s="96">
        <v>0.058</v>
      </c>
      <c r="K23" s="96">
        <v>0.059</v>
      </c>
      <c r="L23" s="96">
        <v>0.06</v>
      </c>
      <c r="M23" s="97">
        <v>0.061</v>
      </c>
    </row>
    <row r="24" spans="1:13" ht="12.75">
      <c r="A24" s="91"/>
      <c r="B24" s="92" t="s">
        <v>195</v>
      </c>
      <c r="C24" s="93"/>
      <c r="D24" s="96">
        <v>0.05</v>
      </c>
      <c r="E24" s="96">
        <v>0.05</v>
      </c>
      <c r="F24" s="96">
        <v>0.05</v>
      </c>
      <c r="G24" s="96">
        <v>0.05</v>
      </c>
      <c r="H24" s="96">
        <v>0.05</v>
      </c>
      <c r="I24" s="96">
        <v>0.05</v>
      </c>
      <c r="J24" s="96">
        <v>0.05</v>
      </c>
      <c r="K24" s="96">
        <v>0.05</v>
      </c>
      <c r="L24" s="96">
        <v>0.05</v>
      </c>
      <c r="M24" s="97">
        <v>0.05</v>
      </c>
    </row>
    <row r="25" spans="1:13" ht="12.75">
      <c r="A25" s="91"/>
      <c r="B25" s="92" t="s">
        <v>19</v>
      </c>
      <c r="C25" s="93"/>
      <c r="D25" s="96">
        <v>0.04</v>
      </c>
      <c r="E25" s="96">
        <v>0.04</v>
      </c>
      <c r="F25" s="96">
        <v>0.04</v>
      </c>
      <c r="G25" s="96">
        <v>0.04</v>
      </c>
      <c r="H25" s="96">
        <v>0.04</v>
      </c>
      <c r="I25" s="96">
        <v>0.04</v>
      </c>
      <c r="J25" s="96">
        <v>0.04</v>
      </c>
      <c r="K25" s="96">
        <v>0.04</v>
      </c>
      <c r="L25" s="96">
        <v>0.04</v>
      </c>
      <c r="M25" s="97">
        <v>0.04</v>
      </c>
    </row>
    <row r="26" spans="2:13" ht="12.75">
      <c r="B26" s="326"/>
      <c r="C26" s="331"/>
      <c r="D26" s="19"/>
      <c r="E26" s="19"/>
      <c r="F26" s="19"/>
      <c r="G26" s="19"/>
      <c r="H26" s="19"/>
      <c r="I26" s="19"/>
      <c r="J26" s="19"/>
      <c r="K26" s="19"/>
      <c r="L26" s="19"/>
      <c r="M26" s="20"/>
    </row>
    <row r="27" spans="2:13" ht="12.75">
      <c r="B27" s="359" t="s">
        <v>197</v>
      </c>
      <c r="C27" s="360"/>
      <c r="D27" s="287"/>
      <c r="E27" s="287"/>
      <c r="F27" s="287"/>
      <c r="G27" s="287"/>
      <c r="H27" s="287"/>
      <c r="I27" s="287"/>
      <c r="J27" s="287"/>
      <c r="K27" s="287"/>
      <c r="L27" s="287"/>
      <c r="M27" s="288"/>
    </row>
    <row r="28" spans="2:13" s="91" customFormat="1" ht="12.75">
      <c r="B28" s="92" t="s">
        <v>198</v>
      </c>
      <c r="C28" s="93"/>
      <c r="D28" s="96">
        <v>0.025</v>
      </c>
      <c r="E28" s="96">
        <v>0.025</v>
      </c>
      <c r="F28" s="96">
        <v>0.025</v>
      </c>
      <c r="G28" s="96">
        <v>0.025</v>
      </c>
      <c r="H28" s="96">
        <v>0.025</v>
      </c>
      <c r="I28" s="96">
        <v>0.025</v>
      </c>
      <c r="J28" s="96">
        <v>0.025</v>
      </c>
      <c r="K28" s="96">
        <v>0.025</v>
      </c>
      <c r="L28" s="96">
        <v>0.025</v>
      </c>
      <c r="M28" s="97">
        <v>0.025</v>
      </c>
    </row>
    <row r="29" spans="2:13" s="91" customFormat="1" ht="12.75">
      <c r="B29" s="92" t="s">
        <v>199</v>
      </c>
      <c r="C29" s="93"/>
      <c r="D29" s="96">
        <v>0.1</v>
      </c>
      <c r="E29" s="96">
        <v>0.1</v>
      </c>
      <c r="F29" s="96">
        <v>0.1</v>
      </c>
      <c r="G29" s="96">
        <v>0.1</v>
      </c>
      <c r="H29" s="96">
        <v>0.1</v>
      </c>
      <c r="I29" s="96">
        <v>0.1</v>
      </c>
      <c r="J29" s="96">
        <v>0.1</v>
      </c>
      <c r="K29" s="96">
        <v>0.1</v>
      </c>
      <c r="L29" s="96">
        <v>0.1</v>
      </c>
      <c r="M29" s="97">
        <v>0.1</v>
      </c>
    </row>
    <row r="30" spans="2:13" s="91" customFormat="1" ht="12.75">
      <c r="B30" s="92" t="s">
        <v>200</v>
      </c>
      <c r="C30" s="93"/>
      <c r="D30" s="96">
        <v>0.029</v>
      </c>
      <c r="E30" s="96">
        <v>0.029</v>
      </c>
      <c r="F30" s="96">
        <v>0.029</v>
      </c>
      <c r="G30" s="96">
        <v>0.029</v>
      </c>
      <c r="H30" s="96">
        <v>0.029</v>
      </c>
      <c r="I30" s="96">
        <v>0.029</v>
      </c>
      <c r="J30" s="96">
        <v>0.029</v>
      </c>
      <c r="K30" s="96">
        <v>0.029</v>
      </c>
      <c r="L30" s="96">
        <v>0.029</v>
      </c>
      <c r="M30" s="97">
        <v>0.029</v>
      </c>
    </row>
    <row r="31" spans="2:15" s="91" customFormat="1" ht="12.75">
      <c r="B31" s="377" t="s">
        <v>201</v>
      </c>
      <c r="C31" s="378"/>
      <c r="D31" s="96">
        <v>0.02</v>
      </c>
      <c r="E31" s="96">
        <v>0.02</v>
      </c>
      <c r="F31" s="96">
        <v>0.02</v>
      </c>
      <c r="G31" s="96">
        <v>0.02</v>
      </c>
      <c r="H31" s="96">
        <v>0.02</v>
      </c>
      <c r="I31" s="96">
        <v>0.02</v>
      </c>
      <c r="J31" s="96">
        <v>0.02</v>
      </c>
      <c r="K31" s="96">
        <v>0.02</v>
      </c>
      <c r="L31" s="96">
        <v>0.02</v>
      </c>
      <c r="M31" s="97">
        <v>0.02</v>
      </c>
      <c r="O31" s="114"/>
    </row>
    <row r="32" spans="2:13" ht="13.5" thickBot="1">
      <c r="B32" s="3"/>
      <c r="C32" s="4"/>
      <c r="D32" s="5"/>
      <c r="E32" s="5"/>
      <c r="F32" s="5"/>
      <c r="G32" s="5"/>
      <c r="H32" s="5"/>
      <c r="I32" s="5"/>
      <c r="J32" s="5"/>
      <c r="K32" s="5"/>
      <c r="L32" s="5"/>
      <c r="M32" s="8"/>
    </row>
  </sheetData>
  <mergeCells count="9">
    <mergeCell ref="B31:C31"/>
    <mergeCell ref="B26:C26"/>
    <mergeCell ref="B27:C27"/>
    <mergeCell ref="B18:C18"/>
    <mergeCell ref="B8:C8"/>
    <mergeCell ref="B2:M2"/>
    <mergeCell ref="B3:M3"/>
    <mergeCell ref="B4:M4"/>
    <mergeCell ref="B7:C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O74"/>
  <sheetViews>
    <sheetView showGridLines="0" zoomScaleSheetLayoutView="100" workbookViewId="0" topLeftCell="A1">
      <selection activeCell="B2" sqref="B2:M2"/>
    </sheetView>
  </sheetViews>
  <sheetFormatPr defaultColWidth="9.140625" defaultRowHeight="12.75"/>
  <cols>
    <col min="1" max="1" width="5.421875" style="0" customWidth="1"/>
    <col min="2" max="2" width="35.140625" style="0" customWidth="1"/>
    <col min="3" max="3" width="7.00390625" style="0" customWidth="1"/>
    <col min="4" max="4" width="10.7109375" style="0" customWidth="1"/>
    <col min="5" max="5" width="11.00390625" style="0" customWidth="1"/>
    <col min="6" max="7" width="11.00390625" style="91" customWidth="1"/>
    <col min="8" max="8" width="11.140625" style="91" customWidth="1"/>
    <col min="9" max="13" width="11.00390625" style="0" customWidth="1"/>
  </cols>
  <sheetData>
    <row r="1" ht="13.5" thickBot="1"/>
    <row r="2" spans="2:13" ht="23.25">
      <c r="B2" s="343" t="s">
        <v>351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5"/>
    </row>
    <row r="3" spans="2:13" ht="21">
      <c r="B3" s="346" t="s">
        <v>120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8"/>
    </row>
    <row r="4" spans="2:13" ht="16.5" thickBot="1">
      <c r="B4" s="349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1"/>
    </row>
    <row r="5" spans="2:13" ht="12.75">
      <c r="B5" s="11"/>
      <c r="C5" s="12"/>
      <c r="D5" s="9" t="s">
        <v>0</v>
      </c>
      <c r="E5" s="9" t="s">
        <v>1</v>
      </c>
      <c r="F5" s="197" t="s">
        <v>2</v>
      </c>
      <c r="G5" s="197" t="s">
        <v>3</v>
      </c>
      <c r="H5" s="197" t="s">
        <v>4</v>
      </c>
      <c r="I5" s="9" t="s">
        <v>5</v>
      </c>
      <c r="J5" s="9" t="s">
        <v>6</v>
      </c>
      <c r="K5" s="9" t="s">
        <v>7</v>
      </c>
      <c r="L5" s="9" t="s">
        <v>8</v>
      </c>
      <c r="M5" s="10" t="s">
        <v>9</v>
      </c>
    </row>
    <row r="6" spans="2:13" ht="13.5" thickBot="1">
      <c r="B6" s="13"/>
      <c r="C6" s="14"/>
      <c r="D6" s="15" t="s">
        <v>119</v>
      </c>
      <c r="E6" s="15" t="s">
        <v>119</v>
      </c>
      <c r="F6" s="198" t="s">
        <v>119</v>
      </c>
      <c r="G6" s="198" t="s">
        <v>119</v>
      </c>
      <c r="H6" s="198" t="s">
        <v>119</v>
      </c>
      <c r="I6" s="15" t="s">
        <v>119</v>
      </c>
      <c r="J6" s="15" t="s">
        <v>119</v>
      </c>
      <c r="K6" s="15" t="s">
        <v>119</v>
      </c>
      <c r="L6" s="15" t="s">
        <v>119</v>
      </c>
      <c r="M6" s="16" t="s">
        <v>119</v>
      </c>
    </row>
    <row r="7" spans="2:13" ht="12.75">
      <c r="B7" s="280" t="s">
        <v>26</v>
      </c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2"/>
    </row>
    <row r="8" spans="2:13" ht="12.75">
      <c r="B8" s="283" t="s">
        <v>28</v>
      </c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5"/>
    </row>
    <row r="9" spans="2:13" ht="12.75">
      <c r="B9" s="340" t="s">
        <v>94</v>
      </c>
      <c r="C9" s="341"/>
      <c r="D9" s="17">
        <v>112</v>
      </c>
      <c r="E9" s="17">
        <v>126</v>
      </c>
      <c r="F9" s="199">
        <v>136</v>
      </c>
      <c r="G9" s="17">
        <v>145</v>
      </c>
      <c r="H9" s="17">
        <v>155</v>
      </c>
      <c r="I9" s="17">
        <v>186</v>
      </c>
      <c r="J9" s="17">
        <v>177</v>
      </c>
      <c r="K9" s="17">
        <v>188</v>
      </c>
      <c r="L9" s="17">
        <v>197</v>
      </c>
      <c r="M9" s="18">
        <v>212</v>
      </c>
    </row>
    <row r="10" spans="2:13" ht="12.75">
      <c r="B10" s="336" t="s">
        <v>103</v>
      </c>
      <c r="C10" s="337"/>
      <c r="D10" s="51">
        <v>12588</v>
      </c>
      <c r="E10" s="2">
        <v>13596</v>
      </c>
      <c r="F10" s="53">
        <v>14399</v>
      </c>
      <c r="G10" s="2">
        <v>15298</v>
      </c>
      <c r="H10" s="2">
        <v>16150</v>
      </c>
      <c r="I10" s="2">
        <v>16665</v>
      </c>
      <c r="J10" s="2">
        <v>17529</v>
      </c>
      <c r="K10" s="2">
        <v>18434</v>
      </c>
      <c r="L10" s="2">
        <v>19345</v>
      </c>
      <c r="M10" s="7">
        <v>20422</v>
      </c>
    </row>
    <row r="11" spans="2:13" ht="12.75">
      <c r="B11" s="340" t="s">
        <v>96</v>
      </c>
      <c r="C11" s="342"/>
      <c r="D11" s="51">
        <v>549</v>
      </c>
      <c r="E11" s="2">
        <v>580</v>
      </c>
      <c r="F11" s="53">
        <v>610</v>
      </c>
      <c r="G11" s="2">
        <v>650</v>
      </c>
      <c r="H11" s="2">
        <v>680</v>
      </c>
      <c r="I11" s="2">
        <v>725</v>
      </c>
      <c r="J11" s="2">
        <v>685</v>
      </c>
      <c r="K11" s="2">
        <v>710</v>
      </c>
      <c r="L11" s="2">
        <v>732</v>
      </c>
      <c r="M11" s="7">
        <v>765</v>
      </c>
    </row>
    <row r="12" spans="2:13" ht="12.75">
      <c r="B12" s="48" t="s">
        <v>95</v>
      </c>
      <c r="C12" s="49"/>
      <c r="D12" s="51">
        <v>270</v>
      </c>
      <c r="E12" s="2">
        <v>290</v>
      </c>
      <c r="F12" s="53">
        <v>300</v>
      </c>
      <c r="G12" s="2">
        <v>320</v>
      </c>
      <c r="H12" s="2">
        <v>350</v>
      </c>
      <c r="I12" s="2">
        <v>390</v>
      </c>
      <c r="J12" s="2">
        <v>412</v>
      </c>
      <c r="K12" s="2">
        <v>340</v>
      </c>
      <c r="L12" s="2">
        <v>350</v>
      </c>
      <c r="M12" s="7">
        <v>360</v>
      </c>
    </row>
    <row r="13" spans="2:13" ht="12.75">
      <c r="B13" s="48" t="s">
        <v>113</v>
      </c>
      <c r="C13" s="49"/>
      <c r="D13" s="51">
        <v>1711</v>
      </c>
      <c r="E13" s="2">
        <v>1835</v>
      </c>
      <c r="F13" s="53">
        <v>1965</v>
      </c>
      <c r="G13" s="2">
        <v>2045</v>
      </c>
      <c r="H13" s="2">
        <v>2140</v>
      </c>
      <c r="I13" s="2">
        <v>2250</v>
      </c>
      <c r="J13" s="2">
        <v>2325</v>
      </c>
      <c r="K13" s="2">
        <v>2400</v>
      </c>
      <c r="L13" s="2">
        <v>2470</v>
      </c>
      <c r="M13" s="7">
        <v>2500</v>
      </c>
    </row>
    <row r="14" spans="2:13" ht="12.75">
      <c r="B14" s="48" t="s">
        <v>97</v>
      </c>
      <c r="C14" s="49"/>
      <c r="D14" s="51">
        <v>0</v>
      </c>
      <c r="E14" s="2"/>
      <c r="F14" s="53"/>
      <c r="G14" s="2"/>
      <c r="H14" s="2"/>
      <c r="I14" s="2"/>
      <c r="J14" s="2"/>
      <c r="K14" s="2"/>
      <c r="L14" s="2"/>
      <c r="M14" s="7"/>
    </row>
    <row r="15" spans="2:13" ht="12.75">
      <c r="B15" s="48" t="s">
        <v>114</v>
      </c>
      <c r="C15" s="49"/>
      <c r="D15" s="51">
        <v>1739</v>
      </c>
      <c r="E15" s="2">
        <v>1860</v>
      </c>
      <c r="F15" s="53">
        <v>1985</v>
      </c>
      <c r="G15" s="2">
        <v>2090</v>
      </c>
      <c r="H15" s="2">
        <v>2210</v>
      </c>
      <c r="I15" s="2">
        <v>2350</v>
      </c>
      <c r="J15" s="2">
        <v>2425</v>
      </c>
      <c r="K15" s="2">
        <v>2500</v>
      </c>
      <c r="L15" s="2">
        <v>2570</v>
      </c>
      <c r="M15" s="7">
        <v>2600</v>
      </c>
    </row>
    <row r="16" spans="2:13" ht="12.75">
      <c r="B16" s="48" t="s">
        <v>98</v>
      </c>
      <c r="C16" s="49"/>
      <c r="D16" s="51">
        <v>1247</v>
      </c>
      <c r="E16" s="2">
        <v>1325</v>
      </c>
      <c r="F16" s="53">
        <v>1375</v>
      </c>
      <c r="G16" s="2">
        <v>1445</v>
      </c>
      <c r="H16" s="2">
        <v>1510</v>
      </c>
      <c r="I16" s="2">
        <v>1550</v>
      </c>
      <c r="J16" s="2">
        <v>1630</v>
      </c>
      <c r="K16" s="2">
        <v>1690</v>
      </c>
      <c r="L16" s="2">
        <v>1755</v>
      </c>
      <c r="M16" s="7">
        <v>1780</v>
      </c>
    </row>
    <row r="17" spans="2:13" ht="12.75">
      <c r="B17" s="340" t="s">
        <v>99</v>
      </c>
      <c r="C17" s="342"/>
      <c r="D17" s="51">
        <v>302</v>
      </c>
      <c r="E17" s="2">
        <v>325</v>
      </c>
      <c r="F17" s="53">
        <v>393</v>
      </c>
      <c r="G17" s="2">
        <v>426</v>
      </c>
      <c r="H17" s="2">
        <v>402</v>
      </c>
      <c r="I17" s="2">
        <v>445</v>
      </c>
      <c r="J17" s="2">
        <v>445</v>
      </c>
      <c r="K17" s="2">
        <v>475</v>
      </c>
      <c r="L17" s="2">
        <v>500</v>
      </c>
      <c r="M17" s="7">
        <v>515</v>
      </c>
    </row>
    <row r="18" spans="2:13" ht="12.75">
      <c r="B18" s="336" t="s">
        <v>100</v>
      </c>
      <c r="C18" s="337"/>
      <c r="D18" s="51">
        <v>506</v>
      </c>
      <c r="E18" s="2">
        <v>535</v>
      </c>
      <c r="F18" s="53">
        <v>565</v>
      </c>
      <c r="G18" s="2">
        <v>595</v>
      </c>
      <c r="H18" s="2">
        <v>620</v>
      </c>
      <c r="I18" s="2">
        <v>655</v>
      </c>
      <c r="J18" s="2">
        <v>655</v>
      </c>
      <c r="K18" s="2">
        <v>675</v>
      </c>
      <c r="L18" s="2">
        <v>695</v>
      </c>
      <c r="M18" s="7">
        <v>720</v>
      </c>
    </row>
    <row r="19" spans="2:13" ht="12.75">
      <c r="B19" s="336" t="s">
        <v>115</v>
      </c>
      <c r="C19" s="337"/>
      <c r="D19" s="52">
        <v>1029</v>
      </c>
      <c r="E19" s="2">
        <v>1129</v>
      </c>
      <c r="F19" s="53">
        <v>1235</v>
      </c>
      <c r="G19" s="2">
        <v>1350</v>
      </c>
      <c r="H19" s="2">
        <v>1460</v>
      </c>
      <c r="I19" s="2">
        <v>1580</v>
      </c>
      <c r="J19" s="2">
        <v>1685</v>
      </c>
      <c r="K19" s="2">
        <v>1790</v>
      </c>
      <c r="L19" s="2">
        <v>1890</v>
      </c>
      <c r="M19" s="7">
        <v>2000</v>
      </c>
    </row>
    <row r="20" spans="2:15" ht="12.75">
      <c r="B20" s="338" t="s">
        <v>12</v>
      </c>
      <c r="C20" s="339"/>
      <c r="D20" s="23">
        <f>SUM(D9:D19)</f>
        <v>20053</v>
      </c>
      <c r="E20" s="23">
        <f aca="true" t="shared" si="0" ref="E20:M20">SUM(E9:E19)</f>
        <v>21601</v>
      </c>
      <c r="F20" s="201">
        <f t="shared" si="0"/>
        <v>22963</v>
      </c>
      <c r="G20" s="23">
        <f t="shared" si="0"/>
        <v>24364</v>
      </c>
      <c r="H20" s="23">
        <f t="shared" si="0"/>
        <v>25677</v>
      </c>
      <c r="I20" s="23">
        <f t="shared" si="0"/>
        <v>26796</v>
      </c>
      <c r="J20" s="23">
        <f t="shared" si="0"/>
        <v>27968</v>
      </c>
      <c r="K20" s="23">
        <f t="shared" si="0"/>
        <v>29202</v>
      </c>
      <c r="L20" s="23">
        <f t="shared" si="0"/>
        <v>30504</v>
      </c>
      <c r="M20" s="24">
        <f t="shared" si="0"/>
        <v>31874</v>
      </c>
      <c r="O20" s="164"/>
    </row>
    <row r="21" spans="2:15" ht="12.75">
      <c r="B21" s="21"/>
      <c r="C21" s="22"/>
      <c r="D21" s="19"/>
      <c r="E21" s="19"/>
      <c r="F21" s="89"/>
      <c r="G21" s="19"/>
      <c r="H21" s="19"/>
      <c r="I21" s="19"/>
      <c r="J21" s="19"/>
      <c r="K21" s="19"/>
      <c r="L21" s="19"/>
      <c r="M21" s="20"/>
      <c r="O21" s="164"/>
    </row>
    <row r="22" spans="2:13" ht="12.75">
      <c r="B22" s="286" t="s">
        <v>20</v>
      </c>
      <c r="C22" s="284"/>
      <c r="D22" s="287"/>
      <c r="E22" s="287"/>
      <c r="F22" s="287"/>
      <c r="G22" s="287"/>
      <c r="H22" s="287"/>
      <c r="I22" s="287"/>
      <c r="J22" s="287"/>
      <c r="K22" s="287"/>
      <c r="L22" s="287"/>
      <c r="M22" s="288"/>
    </row>
    <row r="23" spans="2:13" ht="12.75">
      <c r="B23" s="283" t="s">
        <v>122</v>
      </c>
      <c r="C23" s="284"/>
      <c r="D23" s="287"/>
      <c r="E23" s="287"/>
      <c r="F23" s="287"/>
      <c r="G23" s="287"/>
      <c r="H23" s="287"/>
      <c r="I23" s="287"/>
      <c r="J23" s="287"/>
      <c r="K23" s="287"/>
      <c r="L23" s="287"/>
      <c r="M23" s="288"/>
    </row>
    <row r="24" spans="2:13" ht="12.75">
      <c r="B24" s="340" t="s">
        <v>94</v>
      </c>
      <c r="C24" s="341"/>
      <c r="D24" s="53">
        <v>-826</v>
      </c>
      <c r="E24" s="53">
        <f aca="true" t="shared" si="1" ref="E24:E31">D24*1.0508</f>
        <v>-867.9608</v>
      </c>
      <c r="F24" s="53">
        <f>E24*1.04987</f>
        <v>-911.246005096</v>
      </c>
      <c r="G24" s="53">
        <f aca="true" t="shared" si="2" ref="G24:M24">F24*1.04938</f>
        <v>-956.2433328276404</v>
      </c>
      <c r="H24" s="53">
        <f t="shared" si="2"/>
        <v>-1003.4626286026693</v>
      </c>
      <c r="I24" s="53">
        <f t="shared" si="2"/>
        <v>-1053.013613203069</v>
      </c>
      <c r="J24" s="53">
        <f t="shared" si="2"/>
        <v>-1105.0114254230366</v>
      </c>
      <c r="K24" s="53">
        <f t="shared" si="2"/>
        <v>-1159.5768896104262</v>
      </c>
      <c r="L24" s="53">
        <f t="shared" si="2"/>
        <v>-1216.836796419389</v>
      </c>
      <c r="M24" s="54">
        <f t="shared" si="2"/>
        <v>-1276.9241974265783</v>
      </c>
    </row>
    <row r="25" spans="2:13" ht="12.75">
      <c r="B25" s="336" t="s">
        <v>103</v>
      </c>
      <c r="C25" s="337"/>
      <c r="D25" s="53">
        <v>-177</v>
      </c>
      <c r="E25" s="53">
        <f t="shared" si="1"/>
        <v>-185.9916</v>
      </c>
      <c r="F25" s="53">
        <f aca="true" t="shared" si="3" ref="F25:F34">E25*1.04987</f>
        <v>-195.26700109200002</v>
      </c>
      <c r="G25" s="53">
        <f aca="true" t="shared" si="4" ref="G25:M34">F25*1.04938</f>
        <v>-204.90928560592297</v>
      </c>
      <c r="H25" s="53">
        <f t="shared" si="4"/>
        <v>-215.02770612914344</v>
      </c>
      <c r="I25" s="53">
        <f t="shared" si="4"/>
        <v>-225.64577425780053</v>
      </c>
      <c r="J25" s="53">
        <f t="shared" si="4"/>
        <v>-236.7881625906507</v>
      </c>
      <c r="K25" s="53">
        <f t="shared" si="4"/>
        <v>-248.480762059377</v>
      </c>
      <c r="L25" s="53">
        <f t="shared" si="4"/>
        <v>-260.75074208986905</v>
      </c>
      <c r="M25" s="54">
        <f t="shared" si="4"/>
        <v>-273.62661373426675</v>
      </c>
    </row>
    <row r="26" spans="2:13" ht="12.75">
      <c r="B26" s="340" t="s">
        <v>96</v>
      </c>
      <c r="C26" s="342"/>
      <c r="D26" s="53">
        <v>-1372</v>
      </c>
      <c r="E26" s="53">
        <f t="shared" si="1"/>
        <v>-1441.6976</v>
      </c>
      <c r="F26" s="53">
        <f t="shared" si="3"/>
        <v>-1513.595059312</v>
      </c>
      <c r="G26" s="53">
        <f t="shared" si="4"/>
        <v>-1588.3363833408266</v>
      </c>
      <c r="H26" s="53">
        <f t="shared" si="4"/>
        <v>-1666.7684339501966</v>
      </c>
      <c r="I26" s="53">
        <f t="shared" si="4"/>
        <v>-1749.0734592186573</v>
      </c>
      <c r="J26" s="53">
        <f t="shared" si="4"/>
        <v>-1835.4427066348744</v>
      </c>
      <c r="K26" s="53">
        <f t="shared" si="4"/>
        <v>-1926.0768674885044</v>
      </c>
      <c r="L26" s="53">
        <f t="shared" si="4"/>
        <v>-2021.1865432050868</v>
      </c>
      <c r="M26" s="54">
        <f t="shared" si="4"/>
        <v>-2120.992734708554</v>
      </c>
    </row>
    <row r="27" spans="2:13" ht="12.75">
      <c r="B27" s="48" t="s">
        <v>95</v>
      </c>
      <c r="C27" s="49"/>
      <c r="D27" s="53">
        <v>-367</v>
      </c>
      <c r="E27" s="53">
        <f t="shared" si="1"/>
        <v>-385.6436</v>
      </c>
      <c r="F27" s="53">
        <f t="shared" si="3"/>
        <v>-404.87564633200003</v>
      </c>
      <c r="G27" s="53">
        <f t="shared" si="4"/>
        <v>-424.8684057478742</v>
      </c>
      <c r="H27" s="53">
        <f t="shared" si="4"/>
        <v>-445.8484076237042</v>
      </c>
      <c r="I27" s="53">
        <f t="shared" si="4"/>
        <v>-467.8644019921627</v>
      </c>
      <c r="J27" s="53">
        <f t="shared" si="4"/>
        <v>-490.96754616253565</v>
      </c>
      <c r="K27" s="53">
        <f t="shared" si="4"/>
        <v>-515.2115235920417</v>
      </c>
      <c r="L27" s="53">
        <f t="shared" si="4"/>
        <v>-540.6526686270166</v>
      </c>
      <c r="M27" s="54">
        <f t="shared" si="4"/>
        <v>-567.3500974038187</v>
      </c>
    </row>
    <row r="28" spans="2:13" ht="12.75">
      <c r="B28" s="48" t="s">
        <v>113</v>
      </c>
      <c r="C28" s="49"/>
      <c r="D28" s="53">
        <v>-1757</v>
      </c>
      <c r="E28" s="53">
        <f t="shared" si="1"/>
        <v>-1846.2556</v>
      </c>
      <c r="F28" s="53">
        <f t="shared" si="3"/>
        <v>-1938.3283667720002</v>
      </c>
      <c r="G28" s="53">
        <f t="shared" si="4"/>
        <v>-2034.0430215232016</v>
      </c>
      <c r="H28" s="53">
        <f t="shared" si="4"/>
        <v>-2134.484065926017</v>
      </c>
      <c r="I28" s="53">
        <f t="shared" si="4"/>
        <v>-2239.8848891014436</v>
      </c>
      <c r="J28" s="53">
        <f t="shared" si="4"/>
        <v>-2350.4904049252727</v>
      </c>
      <c r="K28" s="53">
        <f t="shared" si="4"/>
        <v>-2466.5576211204825</v>
      </c>
      <c r="L28" s="53">
        <f t="shared" si="4"/>
        <v>-2588.356236451412</v>
      </c>
      <c r="M28" s="54">
        <f t="shared" si="4"/>
        <v>-2716.1692674073824</v>
      </c>
    </row>
    <row r="29" spans="2:13" ht="12.75">
      <c r="B29" s="48" t="s">
        <v>97</v>
      </c>
      <c r="C29" s="49"/>
      <c r="D29" s="53">
        <v>0</v>
      </c>
      <c r="E29" s="53">
        <f t="shared" si="1"/>
        <v>0</v>
      </c>
      <c r="F29" s="53">
        <f t="shared" si="3"/>
        <v>0</v>
      </c>
      <c r="G29" s="53">
        <f t="shared" si="4"/>
        <v>0</v>
      </c>
      <c r="H29" s="53">
        <f t="shared" si="4"/>
        <v>0</v>
      </c>
      <c r="I29" s="53">
        <f t="shared" si="4"/>
        <v>0</v>
      </c>
      <c r="J29" s="53">
        <f t="shared" si="4"/>
        <v>0</v>
      </c>
      <c r="K29" s="53">
        <f t="shared" si="4"/>
        <v>0</v>
      </c>
      <c r="L29" s="53">
        <f t="shared" si="4"/>
        <v>0</v>
      </c>
      <c r="M29" s="54">
        <f t="shared" si="4"/>
        <v>0</v>
      </c>
    </row>
    <row r="30" spans="2:13" ht="12.75">
      <c r="B30" s="48" t="s">
        <v>114</v>
      </c>
      <c r="C30" s="49"/>
      <c r="D30" s="19">
        <v>-3295</v>
      </c>
      <c r="E30" s="53">
        <f t="shared" si="1"/>
        <v>-3462.386</v>
      </c>
      <c r="F30" s="53">
        <f t="shared" si="3"/>
        <v>-3635.05518982</v>
      </c>
      <c r="G30" s="53">
        <f t="shared" si="4"/>
        <v>-3814.5542150933115</v>
      </c>
      <c r="H30" s="53">
        <f t="shared" si="4"/>
        <v>-4002.916902234619</v>
      </c>
      <c r="I30" s="53">
        <f t="shared" si="4"/>
        <v>-4200.580938866964</v>
      </c>
      <c r="J30" s="53">
        <f t="shared" si="4"/>
        <v>-4408.005625628215</v>
      </c>
      <c r="K30" s="53">
        <f t="shared" si="4"/>
        <v>-4625.672943421736</v>
      </c>
      <c r="L30" s="53">
        <f t="shared" si="4"/>
        <v>-4854.088673367901</v>
      </c>
      <c r="M30" s="54">
        <f t="shared" si="4"/>
        <v>-5093.783572058807</v>
      </c>
    </row>
    <row r="31" spans="2:13" ht="12.75">
      <c r="B31" s="48" t="s">
        <v>98</v>
      </c>
      <c r="C31" s="49"/>
      <c r="D31" s="19">
        <v>-4363</v>
      </c>
      <c r="E31" s="53">
        <f t="shared" si="1"/>
        <v>-4584.6404</v>
      </c>
      <c r="F31" s="53">
        <f t="shared" si="3"/>
        <v>-4813.276416748001</v>
      </c>
      <c r="G31" s="53">
        <f t="shared" si="4"/>
        <v>-5050.956006207017</v>
      </c>
      <c r="H31" s="53">
        <f t="shared" si="4"/>
        <v>-5300.372213793519</v>
      </c>
      <c r="I31" s="53">
        <f t="shared" si="4"/>
        <v>-5562.104593710643</v>
      </c>
      <c r="J31" s="53">
        <f t="shared" si="4"/>
        <v>-5836.761318548074</v>
      </c>
      <c r="K31" s="53">
        <f t="shared" si="4"/>
        <v>-6124.980592457978</v>
      </c>
      <c r="L31" s="53">
        <f t="shared" si="4"/>
        <v>-6427.432134113553</v>
      </c>
      <c r="M31" s="54">
        <f t="shared" si="4"/>
        <v>-6744.81873289608</v>
      </c>
    </row>
    <row r="32" spans="2:13" ht="12.75">
      <c r="B32" s="340" t="s">
        <v>99</v>
      </c>
      <c r="C32" s="342"/>
      <c r="D32" s="19">
        <v>-6236</v>
      </c>
      <c r="E32" s="53">
        <f>-6370-1</f>
        <v>-6371</v>
      </c>
      <c r="F32" s="53">
        <v>-6439</v>
      </c>
      <c r="G32" s="53">
        <f>-6913+296</f>
        <v>-6617</v>
      </c>
      <c r="H32" s="53">
        <f>-7325+97</f>
        <v>-7228</v>
      </c>
      <c r="I32" s="53">
        <f>-7738+397</f>
        <v>-7341</v>
      </c>
      <c r="J32" s="53">
        <f>-8265+706</f>
        <v>-7559</v>
      </c>
      <c r="K32" s="53">
        <f>-8819+441</f>
        <v>-8378</v>
      </c>
      <c r="L32" s="53">
        <f>-9339+763</f>
        <v>-8576</v>
      </c>
      <c r="M32" s="54">
        <f>-9867+1092</f>
        <v>-8775</v>
      </c>
    </row>
    <row r="33" spans="2:13" ht="12.75">
      <c r="B33" s="336" t="s">
        <v>100</v>
      </c>
      <c r="C33" s="337"/>
      <c r="D33" s="2">
        <v>-675</v>
      </c>
      <c r="E33" s="53">
        <f>D33*1.0508</f>
        <v>-709.29</v>
      </c>
      <c r="F33" s="53">
        <f t="shared" si="3"/>
        <v>-744.6622923</v>
      </c>
      <c r="G33" s="53">
        <f t="shared" si="4"/>
        <v>-781.433716293774</v>
      </c>
      <c r="H33" s="53">
        <f>G33*1.04938</f>
        <v>-820.0209132043605</v>
      </c>
      <c r="I33" s="53">
        <f t="shared" si="4"/>
        <v>-860.5135458983917</v>
      </c>
      <c r="J33" s="53">
        <f>I33*1.04938</f>
        <v>-903.0057047948543</v>
      </c>
      <c r="K33" s="53">
        <f>J33*1.04938</f>
        <v>-947.5961264976241</v>
      </c>
      <c r="L33" s="53">
        <f>K33*1.04938</f>
        <v>-994.3884232240767</v>
      </c>
      <c r="M33" s="54">
        <f>L33*1.04938</f>
        <v>-1043.4913235628817</v>
      </c>
    </row>
    <row r="34" spans="2:13" ht="12.75">
      <c r="B34" s="336" t="s">
        <v>115</v>
      </c>
      <c r="C34" s="337"/>
      <c r="D34" s="2">
        <v>-892</v>
      </c>
      <c r="E34" s="53">
        <f>D34*1.0508</f>
        <v>-937.3136</v>
      </c>
      <c r="F34" s="53">
        <f t="shared" si="3"/>
        <v>-984.057429232</v>
      </c>
      <c r="G34" s="53">
        <f t="shared" si="4"/>
        <v>-1032.650185087476</v>
      </c>
      <c r="H34" s="53">
        <f t="shared" si="4"/>
        <v>-1083.6424512270955</v>
      </c>
      <c r="I34" s="53">
        <f t="shared" si="4"/>
        <v>-1137.1527154686894</v>
      </c>
      <c r="J34" s="53">
        <f>I34*1.04938</f>
        <v>-1193.3053165585331</v>
      </c>
      <c r="K34" s="53">
        <f>J34*1.04938</f>
        <v>-1252.2307330901936</v>
      </c>
      <c r="L34" s="53">
        <f>K34*1.04938</f>
        <v>-1314.0658866901872</v>
      </c>
      <c r="M34" s="54">
        <f>L34*1.045</f>
        <v>-1373.1988515912456</v>
      </c>
    </row>
    <row r="35" spans="2:13" ht="12.75">
      <c r="B35" s="338" t="s">
        <v>29</v>
      </c>
      <c r="C35" s="339"/>
      <c r="D35" s="27">
        <f>SUM(D24:D34)</f>
        <v>-19960</v>
      </c>
      <c r="E35" s="27">
        <f>SUM(E24:E34)</f>
        <v>-20792.179200000002</v>
      </c>
      <c r="F35" s="211">
        <f aca="true" t="shared" si="5" ref="F35:M35">SUM(F24:F34)</f>
        <v>-21579.363406704004</v>
      </c>
      <c r="G35" s="27">
        <f t="shared" si="5"/>
        <v>-22504.994551727046</v>
      </c>
      <c r="H35" s="27">
        <f t="shared" si="5"/>
        <v>-23900.543722691327</v>
      </c>
      <c r="I35" s="27">
        <f t="shared" si="5"/>
        <v>-24836.83393171782</v>
      </c>
      <c r="J35" s="27">
        <f t="shared" si="5"/>
        <v>-25918.778211266046</v>
      </c>
      <c r="K35" s="27">
        <f t="shared" si="5"/>
        <v>-27644.384059338365</v>
      </c>
      <c r="L35" s="27">
        <f t="shared" si="5"/>
        <v>-28793.758104188495</v>
      </c>
      <c r="M35" s="28">
        <f t="shared" si="5"/>
        <v>-29985.355390789617</v>
      </c>
    </row>
    <row r="36" spans="2:13" ht="12.75">
      <c r="B36" s="338"/>
      <c r="C36" s="355"/>
      <c r="D36" s="19"/>
      <c r="E36" s="19"/>
      <c r="F36" s="89"/>
      <c r="G36" s="19"/>
      <c r="H36" s="19"/>
      <c r="I36" s="19"/>
      <c r="J36" s="19"/>
      <c r="K36" s="19"/>
      <c r="L36" s="19"/>
      <c r="M36" s="30"/>
    </row>
    <row r="37" spans="2:13" ht="13.5" thickBot="1">
      <c r="B37" s="329" t="s">
        <v>30</v>
      </c>
      <c r="C37" s="330"/>
      <c r="D37" s="115">
        <f aca="true" t="shared" si="6" ref="D37:M37">D20+D35</f>
        <v>93</v>
      </c>
      <c r="E37" s="115">
        <f t="shared" si="6"/>
        <v>808.8207999999977</v>
      </c>
      <c r="F37" s="212">
        <f t="shared" si="6"/>
        <v>1383.6365932959961</v>
      </c>
      <c r="G37" s="115">
        <f t="shared" si="6"/>
        <v>1859.0054482729538</v>
      </c>
      <c r="H37" s="115">
        <f t="shared" si="6"/>
        <v>1776.4562773086727</v>
      </c>
      <c r="I37" s="115">
        <f t="shared" si="6"/>
        <v>1959.1660682821785</v>
      </c>
      <c r="J37" s="115">
        <f t="shared" si="6"/>
        <v>2049.221788733954</v>
      </c>
      <c r="K37" s="115">
        <f t="shared" si="6"/>
        <v>1557.6159406616352</v>
      </c>
      <c r="L37" s="115">
        <f t="shared" si="6"/>
        <v>1710.241895811505</v>
      </c>
      <c r="M37" s="116">
        <f t="shared" si="6"/>
        <v>1888.6446092103834</v>
      </c>
    </row>
    <row r="38" spans="2:13" ht="12.75">
      <c r="B38" s="21"/>
      <c r="C38" s="37"/>
      <c r="D38" s="19"/>
      <c r="E38" s="19"/>
      <c r="F38" s="89"/>
      <c r="G38" s="19"/>
      <c r="H38" s="19"/>
      <c r="I38" s="19"/>
      <c r="J38" s="19"/>
      <c r="K38" s="19"/>
      <c r="L38" s="19"/>
      <c r="M38" s="20"/>
    </row>
    <row r="39" spans="2:13" ht="12.75">
      <c r="B39" s="286" t="s">
        <v>123</v>
      </c>
      <c r="C39" s="284"/>
      <c r="D39" s="287"/>
      <c r="E39" s="287"/>
      <c r="F39" s="287"/>
      <c r="G39" s="287"/>
      <c r="H39" s="287"/>
      <c r="I39" s="287"/>
      <c r="J39" s="287"/>
      <c r="K39" s="287"/>
      <c r="L39" s="287"/>
      <c r="M39" s="288"/>
    </row>
    <row r="40" spans="2:13" ht="12.75">
      <c r="B40" s="48" t="s">
        <v>113</v>
      </c>
      <c r="C40" s="49"/>
      <c r="D40" s="53">
        <v>-35</v>
      </c>
      <c r="E40" s="53">
        <v>-74</v>
      </c>
      <c r="F40" s="53">
        <v>-72</v>
      </c>
      <c r="G40" s="53">
        <v>-71</v>
      </c>
      <c r="H40" s="53">
        <v>-68</v>
      </c>
      <c r="I40" s="53">
        <v>-66</v>
      </c>
      <c r="J40" s="53">
        <v>-63</v>
      </c>
      <c r="K40" s="53">
        <v>-61</v>
      </c>
      <c r="L40" s="53">
        <v>-58</v>
      </c>
      <c r="M40" s="54">
        <v>-55</v>
      </c>
    </row>
    <row r="41" spans="2:13" ht="13.5" thickBot="1">
      <c r="B41" s="154" t="s">
        <v>98</v>
      </c>
      <c r="C41" s="158"/>
      <c r="D41" s="152">
        <v>-23</v>
      </c>
      <c r="E41" s="152">
        <v>-27</v>
      </c>
      <c r="F41" s="213">
        <v>-24</v>
      </c>
      <c r="G41" s="152">
        <v>-20</v>
      </c>
      <c r="H41" s="152">
        <v>-17</v>
      </c>
      <c r="I41" s="152">
        <v>-28</v>
      </c>
      <c r="J41" s="152">
        <v>-66</v>
      </c>
      <c r="K41" s="152">
        <v>-88</v>
      </c>
      <c r="L41" s="152">
        <v>-82</v>
      </c>
      <c r="M41" s="153">
        <v>-77</v>
      </c>
    </row>
    <row r="42" spans="2:13" ht="12.75">
      <c r="B42" s="48" t="s">
        <v>99</v>
      </c>
      <c r="C42" s="49"/>
      <c r="D42" s="19"/>
      <c r="E42" s="19">
        <v>-19</v>
      </c>
      <c r="F42" s="89">
        <v>-17</v>
      </c>
      <c r="G42" s="19">
        <v>-14</v>
      </c>
      <c r="H42" s="19">
        <v>-12</v>
      </c>
      <c r="I42" s="19">
        <v>-8</v>
      </c>
      <c r="J42" s="19">
        <v>-5</v>
      </c>
      <c r="K42" s="19">
        <v>-2</v>
      </c>
      <c r="L42" s="19"/>
      <c r="M42" s="20"/>
    </row>
    <row r="43" spans="2:13" ht="12.75">
      <c r="B43" s="336" t="s">
        <v>115</v>
      </c>
      <c r="C43" s="337"/>
      <c r="D43" s="55">
        <v>-34</v>
      </c>
      <c r="E43" s="55">
        <v>-58</v>
      </c>
      <c r="F43" s="208">
        <v>-56</v>
      </c>
      <c r="G43" s="55">
        <v>-54</v>
      </c>
      <c r="H43" s="55">
        <v>-53</v>
      </c>
      <c r="I43" s="55">
        <v>-51</v>
      </c>
      <c r="J43" s="55">
        <v>-49</v>
      </c>
      <c r="K43" s="55">
        <v>-47</v>
      </c>
      <c r="L43" s="55">
        <v>-44</v>
      </c>
      <c r="M43" s="56">
        <v>-42</v>
      </c>
    </row>
    <row r="44" spans="2:13" ht="12.75">
      <c r="B44" s="48"/>
      <c r="C44" s="47"/>
      <c r="D44" s="2">
        <f>SUM(D40:D43)</f>
        <v>-92</v>
      </c>
      <c r="E44" s="2">
        <f aca="true" t="shared" si="7" ref="E44:M44">SUM(E40:E43)</f>
        <v>-178</v>
      </c>
      <c r="F44" s="53">
        <f t="shared" si="7"/>
        <v>-169</v>
      </c>
      <c r="G44" s="2">
        <f t="shared" si="7"/>
        <v>-159</v>
      </c>
      <c r="H44" s="2">
        <f t="shared" si="7"/>
        <v>-150</v>
      </c>
      <c r="I44" s="2">
        <f t="shared" si="7"/>
        <v>-153</v>
      </c>
      <c r="J44" s="2">
        <f t="shared" si="7"/>
        <v>-183</v>
      </c>
      <c r="K44" s="2">
        <f t="shared" si="7"/>
        <v>-198</v>
      </c>
      <c r="L44" s="2">
        <f t="shared" si="7"/>
        <v>-184</v>
      </c>
      <c r="M44" s="7">
        <f t="shared" si="7"/>
        <v>-174</v>
      </c>
    </row>
    <row r="45" spans="2:13" ht="12.75">
      <c r="B45" s="326"/>
      <c r="C45" s="331"/>
      <c r="D45" s="19">
        <f>D35+D44</f>
        <v>-20052</v>
      </c>
      <c r="E45" s="19">
        <f aca="true" t="shared" si="8" ref="E45:M45">E35+E44</f>
        <v>-20970.179200000002</v>
      </c>
      <c r="F45" s="89">
        <f t="shared" si="8"/>
        <v>-21748.363406704004</v>
      </c>
      <c r="G45" s="19">
        <f t="shared" si="8"/>
        <v>-22663.994551727046</v>
      </c>
      <c r="H45" s="19">
        <f t="shared" si="8"/>
        <v>-24050.543722691327</v>
      </c>
      <c r="I45" s="19">
        <f t="shared" si="8"/>
        <v>-24989.83393171782</v>
      </c>
      <c r="J45" s="19">
        <f t="shared" si="8"/>
        <v>-26101.778211266046</v>
      </c>
      <c r="K45" s="19">
        <f t="shared" si="8"/>
        <v>-27842.384059338365</v>
      </c>
      <c r="L45" s="19">
        <f t="shared" si="8"/>
        <v>-28977.758104188495</v>
      </c>
      <c r="M45" s="20">
        <f t="shared" si="8"/>
        <v>-30159.355390789617</v>
      </c>
    </row>
    <row r="46" spans="2:13" ht="12.75">
      <c r="B46" s="286" t="s">
        <v>124</v>
      </c>
      <c r="C46" s="284"/>
      <c r="D46" s="287"/>
      <c r="E46" s="287"/>
      <c r="F46" s="287"/>
      <c r="G46" s="287"/>
      <c r="H46" s="287"/>
      <c r="I46" s="287"/>
      <c r="J46" s="287"/>
      <c r="K46" s="287"/>
      <c r="L46" s="287"/>
      <c r="M46" s="288"/>
    </row>
    <row r="47" spans="2:13" ht="12.75">
      <c r="B47" s="340" t="s">
        <v>96</v>
      </c>
      <c r="C47" s="342"/>
      <c r="D47" s="51">
        <v>158</v>
      </c>
      <c r="E47" s="51"/>
      <c r="F47" s="200"/>
      <c r="G47" s="51">
        <v>100</v>
      </c>
      <c r="H47" s="51"/>
      <c r="I47" s="51"/>
      <c r="J47" s="51">
        <v>110</v>
      </c>
      <c r="K47" s="51"/>
      <c r="L47" s="51"/>
      <c r="M47" s="57">
        <v>110</v>
      </c>
    </row>
    <row r="48" spans="2:13" ht="12.75">
      <c r="B48" s="48" t="s">
        <v>98</v>
      </c>
      <c r="C48" s="49"/>
      <c r="D48" s="51">
        <v>122</v>
      </c>
      <c r="E48" s="51">
        <v>100</v>
      </c>
      <c r="F48" s="200">
        <v>100</v>
      </c>
      <c r="G48" s="51">
        <v>100</v>
      </c>
      <c r="H48" s="51">
        <v>100</v>
      </c>
      <c r="I48" s="51">
        <v>100</v>
      </c>
      <c r="J48" s="51">
        <v>110</v>
      </c>
      <c r="K48" s="51">
        <v>120</v>
      </c>
      <c r="L48" s="51">
        <v>120</v>
      </c>
      <c r="M48" s="57">
        <v>120</v>
      </c>
    </row>
    <row r="49" spans="2:13" ht="12.75">
      <c r="B49" s="340" t="s">
        <v>99</v>
      </c>
      <c r="C49" s="342"/>
      <c r="D49" s="51">
        <v>6365</v>
      </c>
      <c r="E49" s="51">
        <v>5000</v>
      </c>
      <c r="F49" s="200">
        <v>5100</v>
      </c>
      <c r="G49" s="51">
        <v>5200</v>
      </c>
      <c r="H49" s="51">
        <v>2600</v>
      </c>
      <c r="I49" s="51">
        <v>2600</v>
      </c>
      <c r="J49" s="51">
        <v>2700</v>
      </c>
      <c r="K49" s="51">
        <v>2800</v>
      </c>
      <c r="L49" s="51">
        <v>2880</v>
      </c>
      <c r="M49" s="57">
        <v>2900</v>
      </c>
    </row>
    <row r="50" spans="2:13" ht="12.75">
      <c r="B50" s="336" t="s">
        <v>100</v>
      </c>
      <c r="C50" s="337"/>
      <c r="D50" s="51">
        <v>13</v>
      </c>
      <c r="E50" s="51"/>
      <c r="F50" s="200"/>
      <c r="G50" s="51"/>
      <c r="H50" s="51"/>
      <c r="I50" s="51"/>
      <c r="J50" s="51"/>
      <c r="K50" s="51"/>
      <c r="L50" s="51"/>
      <c r="M50" s="57"/>
    </row>
    <row r="51" spans="2:13" ht="12.75">
      <c r="B51" s="338" t="s">
        <v>30</v>
      </c>
      <c r="C51" s="355"/>
      <c r="D51" s="25">
        <f aca="true" t="shared" si="9" ref="D51:M51">SUM(D46:D50)</f>
        <v>6658</v>
      </c>
      <c r="E51" s="25">
        <f t="shared" si="9"/>
        <v>5100</v>
      </c>
      <c r="F51" s="202">
        <f t="shared" si="9"/>
        <v>5200</v>
      </c>
      <c r="G51" s="25">
        <f t="shared" si="9"/>
        <v>5400</v>
      </c>
      <c r="H51" s="25">
        <f t="shared" si="9"/>
        <v>2700</v>
      </c>
      <c r="I51" s="25">
        <f t="shared" si="9"/>
        <v>2700</v>
      </c>
      <c r="J51" s="25">
        <f t="shared" si="9"/>
        <v>2920</v>
      </c>
      <c r="K51" s="25">
        <f t="shared" si="9"/>
        <v>2920</v>
      </c>
      <c r="L51" s="25">
        <f t="shared" si="9"/>
        <v>3000</v>
      </c>
      <c r="M51" s="26">
        <f t="shared" si="9"/>
        <v>3130</v>
      </c>
    </row>
    <row r="52" spans="2:13" ht="12.75">
      <c r="B52" s="21"/>
      <c r="C52" s="37"/>
      <c r="D52" s="33"/>
      <c r="E52" s="33"/>
      <c r="F52" s="205"/>
      <c r="G52" s="33"/>
      <c r="H52" s="33"/>
      <c r="I52" s="33"/>
      <c r="J52" s="33"/>
      <c r="K52" s="33"/>
      <c r="L52" s="33"/>
      <c r="M52" s="34"/>
    </row>
    <row r="53" spans="2:13" ht="12.75">
      <c r="B53" s="286" t="s">
        <v>125</v>
      </c>
      <c r="C53" s="284"/>
      <c r="D53" s="287"/>
      <c r="E53" s="287"/>
      <c r="F53" s="287"/>
      <c r="G53" s="287"/>
      <c r="H53" s="287"/>
      <c r="I53" s="287"/>
      <c r="J53" s="287"/>
      <c r="K53" s="287"/>
      <c r="L53" s="287"/>
      <c r="M53" s="288"/>
    </row>
    <row r="54" spans="2:13" ht="12.75">
      <c r="B54" s="340" t="s">
        <v>94</v>
      </c>
      <c r="C54" s="341"/>
      <c r="D54" s="53">
        <v>109</v>
      </c>
      <c r="E54" s="53">
        <v>5</v>
      </c>
      <c r="F54" s="53">
        <v>-5</v>
      </c>
      <c r="G54" s="53">
        <v>3</v>
      </c>
      <c r="H54" s="53">
        <v>-6</v>
      </c>
      <c r="I54" s="53">
        <v>0</v>
      </c>
      <c r="J54" s="53">
        <v>3</v>
      </c>
      <c r="K54" s="53">
        <v>3</v>
      </c>
      <c r="L54" s="53">
        <v>-4</v>
      </c>
      <c r="M54" s="54">
        <v>3</v>
      </c>
    </row>
    <row r="55" spans="2:13" ht="12.75">
      <c r="B55" s="336" t="s">
        <v>103</v>
      </c>
      <c r="C55" s="337"/>
      <c r="D55" s="53">
        <v>0</v>
      </c>
      <c r="E55" s="53"/>
      <c r="F55" s="53"/>
      <c r="G55" s="53"/>
      <c r="H55" s="53"/>
      <c r="I55" s="53"/>
      <c r="J55" s="53"/>
      <c r="K55" s="53"/>
      <c r="L55" s="53"/>
      <c r="M55" s="54"/>
    </row>
    <row r="56" spans="2:13" ht="12.75">
      <c r="B56" s="340" t="s">
        <v>96</v>
      </c>
      <c r="C56" s="342"/>
      <c r="D56" s="53">
        <v>0</v>
      </c>
      <c r="E56" s="53">
        <v>3</v>
      </c>
      <c r="F56" s="53"/>
      <c r="G56" s="53">
        <v>-2</v>
      </c>
      <c r="H56" s="53"/>
      <c r="I56" s="53">
        <v>2</v>
      </c>
      <c r="J56" s="53"/>
      <c r="K56" s="53">
        <v>-3</v>
      </c>
      <c r="L56" s="53">
        <v>-2</v>
      </c>
      <c r="M56" s="54">
        <v>2</v>
      </c>
    </row>
    <row r="57" spans="2:13" ht="12.75">
      <c r="B57" s="48" t="s">
        <v>95</v>
      </c>
      <c r="C57" s="49"/>
      <c r="D57" s="53">
        <v>-2</v>
      </c>
      <c r="E57" s="53"/>
      <c r="F57" s="53">
        <v>1</v>
      </c>
      <c r="G57" s="53"/>
      <c r="H57" s="53">
        <v>-1</v>
      </c>
      <c r="I57" s="53"/>
      <c r="J57" s="53"/>
      <c r="K57" s="53"/>
      <c r="L57" s="53"/>
      <c r="M57" s="54"/>
    </row>
    <row r="58" spans="2:13" ht="12.75">
      <c r="B58" s="48" t="s">
        <v>113</v>
      </c>
      <c r="C58" s="49"/>
      <c r="D58" s="53">
        <v>0</v>
      </c>
      <c r="E58" s="53"/>
      <c r="F58" s="53"/>
      <c r="G58" s="53"/>
      <c r="H58" s="53"/>
      <c r="I58" s="53"/>
      <c r="J58" s="53"/>
      <c r="K58" s="53"/>
      <c r="L58" s="53"/>
      <c r="M58" s="54"/>
    </row>
    <row r="59" spans="2:13" ht="12.75">
      <c r="B59" s="48" t="s">
        <v>97</v>
      </c>
      <c r="C59" s="49"/>
      <c r="D59" s="53">
        <v>0</v>
      </c>
      <c r="E59" s="53"/>
      <c r="F59" s="53"/>
      <c r="G59" s="53"/>
      <c r="H59" s="53"/>
      <c r="I59" s="53"/>
      <c r="J59" s="53"/>
      <c r="K59" s="53"/>
      <c r="L59" s="53"/>
      <c r="M59" s="54"/>
    </row>
    <row r="60" spans="2:13" ht="12.75">
      <c r="B60" s="48" t="s">
        <v>114</v>
      </c>
      <c r="C60" s="49"/>
      <c r="D60" s="19">
        <v>0</v>
      </c>
      <c r="E60" s="19"/>
      <c r="F60" s="89"/>
      <c r="G60" s="19"/>
      <c r="H60" s="19">
        <v>-2</v>
      </c>
      <c r="I60" s="19">
        <v>2</v>
      </c>
      <c r="J60" s="19"/>
      <c r="K60" s="19">
        <v>-1</v>
      </c>
      <c r="L60" s="19"/>
      <c r="M60" s="20">
        <v>2</v>
      </c>
    </row>
    <row r="61" spans="2:13" ht="12.75">
      <c r="B61" s="48" t="s">
        <v>98</v>
      </c>
      <c r="C61" s="49"/>
      <c r="D61" s="19">
        <v>-5</v>
      </c>
      <c r="E61" s="19"/>
      <c r="F61" s="89">
        <v>1</v>
      </c>
      <c r="G61" s="19">
        <v>2</v>
      </c>
      <c r="H61" s="19">
        <v>-1</v>
      </c>
      <c r="I61" s="19">
        <v>2</v>
      </c>
      <c r="J61" s="19">
        <v>-3</v>
      </c>
      <c r="K61" s="19">
        <v>-1</v>
      </c>
      <c r="L61" s="19">
        <v>-3</v>
      </c>
      <c r="M61" s="20">
        <v>-1</v>
      </c>
    </row>
    <row r="62" spans="2:13" ht="12.75">
      <c r="B62" s="340" t="s">
        <v>99</v>
      </c>
      <c r="C62" s="342"/>
      <c r="D62" s="19">
        <v>-4</v>
      </c>
      <c r="E62" s="19">
        <v>14</v>
      </c>
      <c r="F62" s="89">
        <v>18</v>
      </c>
      <c r="G62" s="19">
        <v>13</v>
      </c>
      <c r="H62" s="19">
        <v>20</v>
      </c>
      <c r="I62" s="19">
        <v>-4</v>
      </c>
      <c r="J62" s="19">
        <v>-5</v>
      </c>
      <c r="K62" s="19">
        <v>-13</v>
      </c>
      <c r="L62" s="19">
        <v>7</v>
      </c>
      <c r="M62" s="20">
        <v>-1</v>
      </c>
    </row>
    <row r="63" spans="2:13" ht="12.75">
      <c r="B63" s="336" t="s">
        <v>100</v>
      </c>
      <c r="C63" s="337"/>
      <c r="D63" s="2">
        <v>-1</v>
      </c>
      <c r="E63" s="2">
        <v>850</v>
      </c>
      <c r="F63" s="53">
        <v>731</v>
      </c>
      <c r="G63" s="2"/>
      <c r="H63" s="2"/>
      <c r="I63" s="2">
        <v>1</v>
      </c>
      <c r="J63" s="2"/>
      <c r="K63" s="2"/>
      <c r="L63" s="2"/>
      <c r="M63" s="7"/>
    </row>
    <row r="64" spans="2:13" ht="12.75">
      <c r="B64" s="336" t="s">
        <v>115</v>
      </c>
      <c r="C64" s="337"/>
      <c r="D64" s="2">
        <v>-5</v>
      </c>
      <c r="E64" s="2">
        <v>0</v>
      </c>
      <c r="F64" s="53"/>
      <c r="G64" s="2"/>
      <c r="H64" s="2"/>
      <c r="I64" s="2"/>
      <c r="J64" s="2"/>
      <c r="K64" s="2"/>
      <c r="L64" s="2">
        <v>-2</v>
      </c>
      <c r="M64" s="7"/>
    </row>
    <row r="65" spans="2:13" ht="12.75">
      <c r="B65" s="338" t="s">
        <v>30</v>
      </c>
      <c r="C65" s="355"/>
      <c r="D65" s="25">
        <f>SUM(D54:D64)</f>
        <v>92</v>
      </c>
      <c r="E65" s="25">
        <f>SUM(E54:E64)</f>
        <v>872</v>
      </c>
      <c r="F65" s="202">
        <f aca="true" t="shared" si="10" ref="F65:M65">SUM(F54:F64)</f>
        <v>746</v>
      </c>
      <c r="G65" s="25">
        <f t="shared" si="10"/>
        <v>16</v>
      </c>
      <c r="H65" s="25">
        <f t="shared" si="10"/>
        <v>10</v>
      </c>
      <c r="I65" s="25">
        <f t="shared" si="10"/>
        <v>3</v>
      </c>
      <c r="J65" s="25">
        <f t="shared" si="10"/>
        <v>-5</v>
      </c>
      <c r="K65" s="25">
        <f t="shared" si="10"/>
        <v>-15</v>
      </c>
      <c r="L65" s="25">
        <f t="shared" si="10"/>
        <v>-4</v>
      </c>
      <c r="M65" s="26">
        <f t="shared" si="10"/>
        <v>5</v>
      </c>
    </row>
    <row r="66" spans="2:13" ht="13.5" thickBot="1">
      <c r="B66" s="332"/>
      <c r="C66" s="333"/>
      <c r="D66" s="35"/>
      <c r="E66" s="35"/>
      <c r="F66" s="214"/>
      <c r="G66" s="35"/>
      <c r="H66" s="35"/>
      <c r="I66" s="35"/>
      <c r="J66" s="35"/>
      <c r="K66" s="35"/>
      <c r="L66" s="35"/>
      <c r="M66" s="36"/>
    </row>
    <row r="67" spans="2:13" ht="13.5" thickBot="1">
      <c r="B67" s="353" t="s">
        <v>34</v>
      </c>
      <c r="C67" s="328"/>
      <c r="D67" s="175">
        <f>D37+D44+D51+D65</f>
        <v>6751</v>
      </c>
      <c r="E67" s="175">
        <f aca="true" t="shared" si="11" ref="E67:M67">E37+E44+E51+E65</f>
        <v>6602.820799999998</v>
      </c>
      <c r="F67" s="215">
        <f t="shared" si="11"/>
        <v>7160.636593295996</v>
      </c>
      <c r="G67" s="175">
        <f t="shared" si="11"/>
        <v>7116.005448272954</v>
      </c>
      <c r="H67" s="175">
        <f t="shared" si="11"/>
        <v>4336.456277308673</v>
      </c>
      <c r="I67" s="175">
        <f t="shared" si="11"/>
        <v>4509.1660682821785</v>
      </c>
      <c r="J67" s="175">
        <f t="shared" si="11"/>
        <v>4781.221788733954</v>
      </c>
      <c r="K67" s="175">
        <f t="shared" si="11"/>
        <v>4264.615940661635</v>
      </c>
      <c r="L67" s="175">
        <f t="shared" si="11"/>
        <v>4522.241895811505</v>
      </c>
      <c r="M67" s="176">
        <f t="shared" si="11"/>
        <v>4849.644609210383</v>
      </c>
    </row>
    <row r="68" spans="2:13" ht="13.5" thickTop="1">
      <c r="B68" s="165" t="s">
        <v>315</v>
      </c>
      <c r="C68" s="63"/>
      <c r="D68" s="2"/>
      <c r="E68" s="2"/>
      <c r="F68" s="53"/>
      <c r="G68"/>
      <c r="H68"/>
      <c r="M68" s="182"/>
    </row>
    <row r="69" spans="2:13" ht="12.75">
      <c r="B69" s="336" t="s">
        <v>317</v>
      </c>
      <c r="C69" s="337"/>
      <c r="D69" s="2">
        <f>Ratios!D60</f>
        <v>0</v>
      </c>
      <c r="E69" s="2">
        <f>Ratios!E60</f>
        <v>0</v>
      </c>
      <c r="F69" s="53">
        <f>Ratios!F60</f>
        <v>0</v>
      </c>
      <c r="G69" s="2">
        <f>Ratios!G60</f>
        <v>18962.775492</v>
      </c>
      <c r="H69" s="2">
        <f>Ratios!H60</f>
        <v>0</v>
      </c>
      <c r="I69" s="2">
        <f>Ratios!I60</f>
        <v>0</v>
      </c>
      <c r="J69" s="2">
        <f>Ratios!J60</f>
        <v>23176.89351825664</v>
      </c>
      <c r="K69" s="2">
        <f>Ratios!K60</f>
        <v>0</v>
      </c>
      <c r="L69" s="2">
        <f>Ratios!L60</f>
        <v>0</v>
      </c>
      <c r="M69" s="7">
        <f>Ratios!M60</f>
        <v>26847.170320766734</v>
      </c>
    </row>
    <row r="70" spans="2:13" ht="12.75">
      <c r="B70" s="165"/>
      <c r="C70" s="63"/>
      <c r="D70" s="55"/>
      <c r="E70" s="55"/>
      <c r="F70" s="208"/>
      <c r="G70" s="168"/>
      <c r="H70" s="168"/>
      <c r="I70" s="168"/>
      <c r="J70" s="168"/>
      <c r="K70" s="168"/>
      <c r="L70" s="168"/>
      <c r="M70" s="169"/>
    </row>
    <row r="71" spans="2:13" ht="12.75">
      <c r="B71" s="50" t="s">
        <v>310</v>
      </c>
      <c r="C71" s="43"/>
      <c r="D71" s="170">
        <f>D69</f>
        <v>0</v>
      </c>
      <c r="E71" s="170">
        <f aca="true" t="shared" si="12" ref="E71:M71">E69</f>
        <v>0</v>
      </c>
      <c r="F71" s="209">
        <f t="shared" si="12"/>
        <v>0</v>
      </c>
      <c r="G71" s="170">
        <f t="shared" si="12"/>
        <v>18962.775492</v>
      </c>
      <c r="H71" s="170">
        <f t="shared" si="12"/>
        <v>0</v>
      </c>
      <c r="I71" s="170">
        <f t="shared" si="12"/>
        <v>0</v>
      </c>
      <c r="J71" s="170">
        <f t="shared" si="12"/>
        <v>23176.89351825664</v>
      </c>
      <c r="K71" s="170">
        <f t="shared" si="12"/>
        <v>0</v>
      </c>
      <c r="L71" s="170">
        <f t="shared" si="12"/>
        <v>0</v>
      </c>
      <c r="M71" s="171">
        <f t="shared" si="12"/>
        <v>26847.170320766734</v>
      </c>
    </row>
    <row r="72" spans="2:13" ht="12.75">
      <c r="B72" s="336"/>
      <c r="C72" s="337"/>
      <c r="D72" s="2"/>
      <c r="E72" s="2"/>
      <c r="F72" s="53"/>
      <c r="G72" s="2"/>
      <c r="H72" s="2"/>
      <c r="I72" s="2"/>
      <c r="J72" s="2"/>
      <c r="K72" s="2"/>
      <c r="L72" s="2"/>
      <c r="M72" s="7"/>
    </row>
    <row r="73" spans="2:13" ht="13.5" thickBot="1">
      <c r="B73" s="183" t="s">
        <v>318</v>
      </c>
      <c r="C73" s="184"/>
      <c r="D73" s="315">
        <f aca="true" t="shared" si="13" ref="D73:M73">D67+D71</f>
        <v>6751</v>
      </c>
      <c r="E73" s="315">
        <f t="shared" si="13"/>
        <v>6602.820799999998</v>
      </c>
      <c r="F73" s="315">
        <f t="shared" si="13"/>
        <v>7160.636593295996</v>
      </c>
      <c r="G73" s="315">
        <f t="shared" si="13"/>
        <v>26078.780940272954</v>
      </c>
      <c r="H73" s="315">
        <f t="shared" si="13"/>
        <v>4336.456277308673</v>
      </c>
      <c r="I73" s="315">
        <f t="shared" si="13"/>
        <v>4509.1660682821785</v>
      </c>
      <c r="J73" s="315">
        <f t="shared" si="13"/>
        <v>27958.115306990592</v>
      </c>
      <c r="K73" s="315">
        <f t="shared" si="13"/>
        <v>4264.615940661635</v>
      </c>
      <c r="L73" s="315">
        <f t="shared" si="13"/>
        <v>4522.241895811505</v>
      </c>
      <c r="M73" s="316">
        <f t="shared" si="13"/>
        <v>31696.814929977118</v>
      </c>
    </row>
    <row r="74" spans="4:13" ht="13.5" thickTop="1">
      <c r="D74" s="271"/>
      <c r="E74" s="271"/>
      <c r="F74" s="271"/>
      <c r="G74" s="271"/>
      <c r="H74" s="271"/>
      <c r="I74" s="271"/>
      <c r="J74" s="271"/>
      <c r="K74" s="271"/>
      <c r="L74" s="271"/>
      <c r="M74" s="271"/>
    </row>
  </sheetData>
  <mergeCells count="36">
    <mergeCell ref="B2:M2"/>
    <mergeCell ref="B3:M3"/>
    <mergeCell ref="B4:M4"/>
    <mergeCell ref="B9:C9"/>
    <mergeCell ref="B35:C35"/>
    <mergeCell ref="B10:C10"/>
    <mergeCell ref="B11:C11"/>
    <mergeCell ref="B17:C17"/>
    <mergeCell ref="B18:C18"/>
    <mergeCell ref="B66:C66"/>
    <mergeCell ref="B64:C64"/>
    <mergeCell ref="B65:C65"/>
    <mergeCell ref="B19:C19"/>
    <mergeCell ref="B20:C20"/>
    <mergeCell ref="B55:C55"/>
    <mergeCell ref="B56:C56"/>
    <mergeCell ref="B32:C32"/>
    <mergeCell ref="B33:C33"/>
    <mergeCell ref="B34:C34"/>
    <mergeCell ref="B62:C62"/>
    <mergeCell ref="B63:C63"/>
    <mergeCell ref="B36:C36"/>
    <mergeCell ref="B37:C37"/>
    <mergeCell ref="B51:C51"/>
    <mergeCell ref="B54:C54"/>
    <mergeCell ref="B45:C45"/>
    <mergeCell ref="B69:C69"/>
    <mergeCell ref="B72:C72"/>
    <mergeCell ref="B67:C67"/>
    <mergeCell ref="B24:C24"/>
    <mergeCell ref="B25:C25"/>
    <mergeCell ref="B26:C26"/>
    <mergeCell ref="B43:C43"/>
    <mergeCell ref="B47:C47"/>
    <mergeCell ref="B49:C49"/>
    <mergeCell ref="B50:C5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Footer>&amp;CPage &amp;P of &amp;N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M52"/>
  <sheetViews>
    <sheetView zoomScaleSheetLayoutView="100" workbookViewId="0" topLeftCell="A1">
      <selection activeCell="B2" sqref="B2:M2"/>
    </sheetView>
  </sheetViews>
  <sheetFormatPr defaultColWidth="9.140625" defaultRowHeight="12.75"/>
  <cols>
    <col min="1" max="1" width="5.28125" style="0" customWidth="1"/>
    <col min="2" max="2" width="5.7109375" style="0" customWidth="1"/>
    <col min="3" max="3" width="39.7109375" style="0" customWidth="1"/>
    <col min="4" max="5" width="11.00390625" style="0" customWidth="1"/>
    <col min="6" max="13" width="11.00390625" style="91" customWidth="1"/>
  </cols>
  <sheetData>
    <row r="1" ht="13.5" thickBot="1"/>
    <row r="2" spans="2:13" ht="23.25">
      <c r="B2" s="343" t="s">
        <v>351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5"/>
    </row>
    <row r="3" spans="2:13" ht="21">
      <c r="B3" s="346" t="s">
        <v>35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8"/>
    </row>
    <row r="4" spans="2:13" ht="16.5" thickBot="1">
      <c r="B4" s="349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1"/>
    </row>
    <row r="5" spans="2:13" ht="12.75">
      <c r="B5" s="11"/>
      <c r="C5" s="12"/>
      <c r="D5" s="9" t="s">
        <v>0</v>
      </c>
      <c r="E5" s="9" t="s">
        <v>1</v>
      </c>
      <c r="F5" s="197" t="s">
        <v>2</v>
      </c>
      <c r="G5" s="197" t="s">
        <v>3</v>
      </c>
      <c r="H5" s="197" t="s">
        <v>4</v>
      </c>
      <c r="I5" s="197" t="s">
        <v>5</v>
      </c>
      <c r="J5" s="197" t="s">
        <v>6</v>
      </c>
      <c r="K5" s="197" t="s">
        <v>7</v>
      </c>
      <c r="L5" s="224" t="s">
        <v>8</v>
      </c>
      <c r="M5" s="228" t="s">
        <v>9</v>
      </c>
    </row>
    <row r="6" spans="2:13" ht="13.5" thickBot="1">
      <c r="B6" s="13"/>
      <c r="C6" s="14"/>
      <c r="D6" s="59" t="s">
        <v>119</v>
      </c>
      <c r="E6" s="59" t="s">
        <v>119</v>
      </c>
      <c r="F6" s="219" t="s">
        <v>119</v>
      </c>
      <c r="G6" s="219" t="s">
        <v>119</v>
      </c>
      <c r="H6" s="219" t="s">
        <v>119</v>
      </c>
      <c r="I6" s="219" t="s">
        <v>119</v>
      </c>
      <c r="J6" s="219" t="s">
        <v>119</v>
      </c>
      <c r="K6" s="219" t="s">
        <v>119</v>
      </c>
      <c r="L6" s="219" t="s">
        <v>119</v>
      </c>
      <c r="M6" s="222" t="s">
        <v>119</v>
      </c>
    </row>
    <row r="7" spans="2:13" ht="12.75">
      <c r="B7" s="363" t="s">
        <v>46</v>
      </c>
      <c r="C7" s="364"/>
      <c r="D7" s="281"/>
      <c r="E7" s="281"/>
      <c r="F7" s="281"/>
      <c r="G7" s="281"/>
      <c r="H7" s="281"/>
      <c r="I7" s="281"/>
      <c r="J7" s="281"/>
      <c r="K7" s="281"/>
      <c r="L7" s="281"/>
      <c r="M7" s="282"/>
    </row>
    <row r="8" spans="2:13" ht="12.75">
      <c r="B8" s="359" t="s">
        <v>36</v>
      </c>
      <c r="C8" s="360"/>
      <c r="D8" s="284"/>
      <c r="E8" s="284"/>
      <c r="F8" s="284"/>
      <c r="G8" s="284"/>
      <c r="H8" s="284"/>
      <c r="I8" s="284"/>
      <c r="J8" s="284"/>
      <c r="K8" s="284"/>
      <c r="L8" s="284"/>
      <c r="M8" s="285"/>
    </row>
    <row r="9" spans="2:13" ht="12.75">
      <c r="B9" s="340" t="s">
        <v>21</v>
      </c>
      <c r="C9" s="341"/>
      <c r="D9" s="17">
        <v>8396</v>
      </c>
      <c r="E9" s="17">
        <v>9328</v>
      </c>
      <c r="F9" s="17">
        <v>10046</v>
      </c>
      <c r="G9" s="17">
        <v>11078</v>
      </c>
      <c r="H9" s="17">
        <v>11629</v>
      </c>
      <c r="I9" s="17">
        <v>12388</v>
      </c>
      <c r="J9" s="17">
        <v>13194</v>
      </c>
      <c r="K9" s="17">
        <v>14053</v>
      </c>
      <c r="L9" s="17">
        <v>14967</v>
      </c>
      <c r="M9" s="18">
        <v>15941</v>
      </c>
    </row>
    <row r="10" spans="2:13" ht="12.75">
      <c r="B10" s="336" t="s">
        <v>22</v>
      </c>
      <c r="C10" s="337"/>
      <c r="D10" s="2">
        <v>6448</v>
      </c>
      <c r="E10" s="51">
        <f>SCINT!E11</f>
        <v>5695.2</v>
      </c>
      <c r="F10" s="51">
        <f>SCINT!F11</f>
        <v>5979.96</v>
      </c>
      <c r="G10" s="51">
        <v>6279</v>
      </c>
      <c r="H10" s="51">
        <v>6562</v>
      </c>
      <c r="I10" s="51">
        <f>SCINT!I11</f>
        <v>6692.7413322</v>
      </c>
      <c r="J10" s="51">
        <v>6827</v>
      </c>
      <c r="K10" s="51">
        <v>6963</v>
      </c>
      <c r="L10" s="51">
        <v>7102</v>
      </c>
      <c r="M10" s="57">
        <v>7244</v>
      </c>
    </row>
    <row r="11" spans="2:13" ht="12.75">
      <c r="B11" s="340" t="s">
        <v>23</v>
      </c>
      <c r="C11" s="342"/>
      <c r="D11" s="2">
        <v>5105</v>
      </c>
      <c r="E11" s="51">
        <f>SCINT!E12</f>
        <v>5355</v>
      </c>
      <c r="F11" s="51">
        <f>SCINT!F12</f>
        <v>5622.75</v>
      </c>
      <c r="G11" s="51">
        <v>5904</v>
      </c>
      <c r="H11" s="51">
        <f>SCINT!H12</f>
        <v>6081.004125</v>
      </c>
      <c r="I11" s="51">
        <f>SCINT!I12</f>
        <v>6263.434248750001</v>
      </c>
      <c r="J11" s="51">
        <v>6451</v>
      </c>
      <c r="K11" s="51">
        <v>6645</v>
      </c>
      <c r="L11" s="51">
        <v>6844</v>
      </c>
      <c r="M11" s="57">
        <v>7050</v>
      </c>
    </row>
    <row r="12" spans="2:13" ht="12.75">
      <c r="B12" s="336" t="s">
        <v>25</v>
      </c>
      <c r="C12" s="337"/>
      <c r="D12" s="2">
        <v>675</v>
      </c>
      <c r="E12" s="51">
        <f>SCINT!E14</f>
        <v>708.75</v>
      </c>
      <c r="F12" s="51">
        <f>SCINT!F14</f>
        <v>744.1875</v>
      </c>
      <c r="G12" s="51">
        <v>781</v>
      </c>
      <c r="H12" s="51">
        <f>SCINT!H14</f>
        <v>804.83878125</v>
      </c>
      <c r="I12" s="51">
        <f>SCINT!I14</f>
        <v>828.9839446875001</v>
      </c>
      <c r="J12" s="51">
        <v>854</v>
      </c>
      <c r="K12" s="51">
        <v>879</v>
      </c>
      <c r="L12" s="51">
        <v>906</v>
      </c>
      <c r="M12" s="57">
        <v>933</v>
      </c>
    </row>
    <row r="13" spans="2:13" ht="12.75">
      <c r="B13" s="340" t="s">
        <v>37</v>
      </c>
      <c r="C13" s="341"/>
      <c r="D13" s="2">
        <v>1540</v>
      </c>
      <c r="E13" s="2">
        <f>D13*1.05</f>
        <v>1617</v>
      </c>
      <c r="F13" s="2">
        <f aca="true" t="shared" si="0" ref="F13:M13">E13*1.05</f>
        <v>1697.8500000000001</v>
      </c>
      <c r="G13" s="2">
        <f t="shared" si="0"/>
        <v>1782.7425000000003</v>
      </c>
      <c r="H13" s="2">
        <f t="shared" si="0"/>
        <v>1871.8796250000005</v>
      </c>
      <c r="I13" s="2">
        <f t="shared" si="0"/>
        <v>1965.4736062500006</v>
      </c>
      <c r="J13" s="2">
        <f t="shared" si="0"/>
        <v>2063.7472865625004</v>
      </c>
      <c r="K13" s="2">
        <f t="shared" si="0"/>
        <v>2166.9346508906256</v>
      </c>
      <c r="L13" s="2">
        <f t="shared" si="0"/>
        <v>2275.281383435157</v>
      </c>
      <c r="M13" s="7">
        <f t="shared" si="0"/>
        <v>2389.0454526069148</v>
      </c>
    </row>
    <row r="14" spans="2:13" ht="12.75">
      <c r="B14" s="336" t="s">
        <v>38</v>
      </c>
      <c r="C14" s="337"/>
      <c r="D14" s="2">
        <v>469</v>
      </c>
      <c r="E14" s="51">
        <v>-2389</v>
      </c>
      <c r="F14" s="51">
        <v>34</v>
      </c>
      <c r="G14" s="51">
        <v>-1277</v>
      </c>
      <c r="H14" s="51">
        <f>-1344-8</f>
        <v>-1352</v>
      </c>
      <c r="I14" s="51">
        <f>-1462+32</f>
        <v>-1430</v>
      </c>
      <c r="J14" s="51">
        <v>-1513</v>
      </c>
      <c r="K14" s="51">
        <v>-1601</v>
      </c>
      <c r="L14" s="51">
        <v>-1694</v>
      </c>
      <c r="M14" s="57">
        <v>-1791</v>
      </c>
    </row>
    <row r="15" spans="2:13" ht="12.75">
      <c r="B15" s="338" t="s">
        <v>43</v>
      </c>
      <c r="C15" s="339"/>
      <c r="D15" s="29">
        <f aca="true" t="shared" si="1" ref="D15:M15">SUM(D9:D14)</f>
        <v>22633</v>
      </c>
      <c r="E15" s="29">
        <f t="shared" si="1"/>
        <v>20314.95</v>
      </c>
      <c r="F15" s="29">
        <f t="shared" si="1"/>
        <v>24124.747499999998</v>
      </c>
      <c r="G15" s="29">
        <f t="shared" si="1"/>
        <v>24547.7425</v>
      </c>
      <c r="H15" s="29">
        <f t="shared" si="1"/>
        <v>25596.72253125</v>
      </c>
      <c r="I15" s="29">
        <f t="shared" si="1"/>
        <v>26708.6331318875</v>
      </c>
      <c r="J15" s="29">
        <f t="shared" si="1"/>
        <v>27876.747286562502</v>
      </c>
      <c r="K15" s="29">
        <f t="shared" si="1"/>
        <v>29105.934650890624</v>
      </c>
      <c r="L15" s="29">
        <f t="shared" si="1"/>
        <v>30400.28138343516</v>
      </c>
      <c r="M15" s="30">
        <f t="shared" si="1"/>
        <v>31766.045452606915</v>
      </c>
    </row>
    <row r="16" spans="2:13" ht="12.75">
      <c r="B16" s="21"/>
      <c r="C16" s="22"/>
      <c r="D16" s="19"/>
      <c r="E16" s="19"/>
      <c r="F16" s="19"/>
      <c r="G16" s="19"/>
      <c r="H16" s="19"/>
      <c r="I16" s="19"/>
      <c r="J16" s="19"/>
      <c r="K16" s="19"/>
      <c r="L16" s="19"/>
      <c r="M16" s="20"/>
    </row>
    <row r="17" spans="2:13" ht="12.75">
      <c r="B17" s="359"/>
      <c r="C17" s="362"/>
      <c r="D17" s="287"/>
      <c r="E17" s="287"/>
      <c r="F17" s="287"/>
      <c r="G17" s="287"/>
      <c r="H17" s="287"/>
      <c r="I17" s="287"/>
      <c r="J17" s="287"/>
      <c r="K17" s="287"/>
      <c r="L17" s="287"/>
      <c r="M17" s="288"/>
    </row>
    <row r="18" spans="2:13" ht="12.75">
      <c r="B18" s="359" t="s">
        <v>39</v>
      </c>
      <c r="C18" s="360"/>
      <c r="D18" s="287"/>
      <c r="E18" s="287"/>
      <c r="F18" s="287"/>
      <c r="G18" s="287"/>
      <c r="H18" s="287"/>
      <c r="I18" s="287"/>
      <c r="J18" s="287"/>
      <c r="K18" s="287"/>
      <c r="L18" s="287"/>
      <c r="M18" s="288"/>
    </row>
    <row r="19" spans="2:13" ht="12.75">
      <c r="B19" s="340" t="s">
        <v>40</v>
      </c>
      <c r="C19" s="341"/>
      <c r="D19" s="19">
        <v>-8466</v>
      </c>
      <c r="E19" s="19">
        <v>-7803</v>
      </c>
      <c r="F19" s="19">
        <v>-8231</v>
      </c>
      <c r="G19" s="19">
        <v>-8685</v>
      </c>
      <c r="H19" s="19">
        <v>-9163</v>
      </c>
      <c r="I19" s="19">
        <v>-9715</v>
      </c>
      <c r="J19" s="19">
        <v>-10298</v>
      </c>
      <c r="K19" s="19">
        <v>-10917</v>
      </c>
      <c r="L19" s="19">
        <v>-11573</v>
      </c>
      <c r="M19" s="20">
        <v>-12268</v>
      </c>
    </row>
    <row r="20" spans="2:13" ht="12.75">
      <c r="B20" s="340" t="s">
        <v>15</v>
      </c>
      <c r="C20" s="342"/>
      <c r="D20" s="19">
        <v>-2866</v>
      </c>
      <c r="E20" s="19">
        <v>-4447</v>
      </c>
      <c r="F20" s="19">
        <v>-3592</v>
      </c>
      <c r="G20" s="19">
        <v>-4160</v>
      </c>
      <c r="H20" s="19">
        <f>SCINT!H21</f>
        <v>-4346.730299278123</v>
      </c>
      <c r="I20" s="19">
        <v>-4661</v>
      </c>
      <c r="J20" s="19">
        <v>-4629</v>
      </c>
      <c r="K20" s="19">
        <f>SCINT!K21</f>
        <v>-4960.3413720473045</v>
      </c>
      <c r="L20" s="19">
        <f>SCINT!L21</f>
        <v>-5183.556733789433</v>
      </c>
      <c r="M20" s="20">
        <f>SCINT!M21</f>
        <v>-5416.816786809957</v>
      </c>
    </row>
    <row r="21" spans="2:13" ht="12.75">
      <c r="B21" s="340" t="s">
        <v>41</v>
      </c>
      <c r="C21" s="342"/>
      <c r="D21" s="19">
        <v>-507</v>
      </c>
      <c r="E21" s="19">
        <v>-503</v>
      </c>
      <c r="F21" s="19">
        <f>SCINT!F22</f>
        <v>-552.9700000000001</v>
      </c>
      <c r="G21" s="19">
        <v>-608</v>
      </c>
      <c r="H21" s="19">
        <f>SCINT!H22</f>
        <v>-669.0937000000002</v>
      </c>
      <c r="I21" s="19">
        <f>SCINT!I22</f>
        <v>-736.0030700000003</v>
      </c>
      <c r="J21" s="19">
        <f>SCINT!J22</f>
        <v>-809.6033770000004</v>
      </c>
      <c r="K21" s="19">
        <f>SCINT!K22</f>
        <v>-890.5637147000004</v>
      </c>
      <c r="L21" s="19">
        <f>SCINT!L22</f>
        <v>-979.6200861700006</v>
      </c>
      <c r="M21" s="20">
        <f>SCINT!M22</f>
        <v>-1077.5820947870006</v>
      </c>
    </row>
    <row r="22" spans="2:13" ht="12.75">
      <c r="B22" s="336" t="s">
        <v>18</v>
      </c>
      <c r="C22" s="337"/>
      <c r="D22" s="2">
        <v>-347</v>
      </c>
      <c r="E22" s="2">
        <v>-364</v>
      </c>
      <c r="F22" s="2">
        <f>SCINT!F25</f>
        <v>-382.56750000000005</v>
      </c>
      <c r="G22" s="2">
        <v>-402</v>
      </c>
      <c r="H22" s="2">
        <f>SCINT!H25</f>
        <v>-421.7806687500001</v>
      </c>
      <c r="I22" s="2">
        <f>SCINT!I25</f>
        <v>-442.8697021875001</v>
      </c>
      <c r="J22" s="2">
        <f>SCINT!J25</f>
        <v>-465.0131872968751</v>
      </c>
      <c r="K22" s="2">
        <f>SCINT!K25</f>
        <v>-488.2638466617189</v>
      </c>
      <c r="L22" s="2">
        <f>SCINT!L25</f>
        <v>-512.6770389948049</v>
      </c>
      <c r="M22" s="7">
        <f>SCINT!M25</f>
        <v>-538.3108909445451</v>
      </c>
    </row>
    <row r="23" spans="2:13" ht="12.75">
      <c r="B23" s="336" t="s">
        <v>42</v>
      </c>
      <c r="C23" s="337"/>
      <c r="D23" s="2">
        <v>-88</v>
      </c>
      <c r="E23" s="2">
        <v>-179</v>
      </c>
      <c r="F23" s="2">
        <f>SCINT!F24</f>
        <v>-170</v>
      </c>
      <c r="G23" s="2">
        <v>-160</v>
      </c>
      <c r="H23" s="2">
        <f>SCINT!H24</f>
        <v>-151</v>
      </c>
      <c r="I23" s="2">
        <f>SCINT!I24</f>
        <v>-154</v>
      </c>
      <c r="J23" s="2">
        <f>SCINT!J24</f>
        <v>-182</v>
      </c>
      <c r="K23" s="2">
        <f>SCINT!K24</f>
        <v>-198</v>
      </c>
      <c r="L23" s="2">
        <f>SCINT!L24</f>
        <v>-185</v>
      </c>
      <c r="M23" s="7">
        <f>SCINT!M24</f>
        <v>-174</v>
      </c>
    </row>
    <row r="24" spans="2:13" ht="12.75">
      <c r="B24" s="336" t="s">
        <v>37</v>
      </c>
      <c r="C24" s="337"/>
      <c r="D24" s="2">
        <v>-1540</v>
      </c>
      <c r="E24" s="2">
        <f>D24*1.05</f>
        <v>-1617</v>
      </c>
      <c r="F24" s="2">
        <f aca="true" t="shared" si="2" ref="F24:M24">E24*1.05</f>
        <v>-1697.8500000000001</v>
      </c>
      <c r="G24" s="2">
        <f t="shared" si="2"/>
        <v>-1782.7425000000003</v>
      </c>
      <c r="H24" s="2">
        <f t="shared" si="2"/>
        <v>-1871.8796250000005</v>
      </c>
      <c r="I24" s="2">
        <f t="shared" si="2"/>
        <v>-1965.4736062500006</v>
      </c>
      <c r="J24" s="2">
        <f t="shared" si="2"/>
        <v>-2063.7472865625004</v>
      </c>
      <c r="K24" s="2">
        <f t="shared" si="2"/>
        <v>-2166.9346508906256</v>
      </c>
      <c r="L24" s="2">
        <f t="shared" si="2"/>
        <v>-2275.281383435157</v>
      </c>
      <c r="M24" s="7">
        <f t="shared" si="2"/>
        <v>-2389.0454526069148</v>
      </c>
    </row>
    <row r="25" spans="2:13" ht="12.75">
      <c r="B25" s="336" t="s">
        <v>38</v>
      </c>
      <c r="C25" s="337"/>
      <c r="D25" s="2">
        <v>-779</v>
      </c>
      <c r="E25" s="2">
        <v>750</v>
      </c>
      <c r="F25" s="2">
        <v>795</v>
      </c>
      <c r="G25" s="2">
        <v>832</v>
      </c>
      <c r="H25" s="2">
        <v>894</v>
      </c>
      <c r="I25" s="2">
        <v>949</v>
      </c>
      <c r="J25" s="2">
        <v>1008</v>
      </c>
      <c r="K25" s="2">
        <v>1067</v>
      </c>
      <c r="L25" s="2">
        <v>1123</v>
      </c>
      <c r="M25" s="7">
        <v>1169</v>
      </c>
    </row>
    <row r="26" spans="2:13" ht="12.75">
      <c r="B26" s="338" t="s">
        <v>44</v>
      </c>
      <c r="C26" s="339"/>
      <c r="D26" s="25">
        <f aca="true" t="shared" si="3" ref="D26:M26">SUM(D19:D25)</f>
        <v>-14593</v>
      </c>
      <c r="E26" s="25">
        <f t="shared" si="3"/>
        <v>-14163</v>
      </c>
      <c r="F26" s="25">
        <f t="shared" si="3"/>
        <v>-13831.387499999999</v>
      </c>
      <c r="G26" s="25">
        <f t="shared" si="3"/>
        <v>-14965.7425</v>
      </c>
      <c r="H26" s="25">
        <f t="shared" si="3"/>
        <v>-15729.484293028123</v>
      </c>
      <c r="I26" s="25">
        <f t="shared" si="3"/>
        <v>-16725.3463784375</v>
      </c>
      <c r="J26" s="25">
        <f t="shared" si="3"/>
        <v>-17439.363850859376</v>
      </c>
      <c r="K26" s="25">
        <f t="shared" si="3"/>
        <v>-18554.10358429965</v>
      </c>
      <c r="L26" s="25">
        <f t="shared" si="3"/>
        <v>-19586.135242389395</v>
      </c>
      <c r="M26" s="26">
        <f t="shared" si="3"/>
        <v>-20694.755225148416</v>
      </c>
    </row>
    <row r="27" spans="2:13" ht="12.75">
      <c r="B27" s="338"/>
      <c r="C27" s="355"/>
      <c r="D27" s="19"/>
      <c r="E27" s="19"/>
      <c r="F27" s="19"/>
      <c r="G27" s="19"/>
      <c r="H27" s="19"/>
      <c r="I27" s="19"/>
      <c r="J27" s="19"/>
      <c r="K27" s="19"/>
      <c r="L27" s="19"/>
      <c r="M27" s="20"/>
    </row>
    <row r="28" spans="2:13" ht="12.75">
      <c r="B28" s="325" t="s">
        <v>45</v>
      </c>
      <c r="C28" s="356"/>
      <c r="D28" s="23">
        <f aca="true" t="shared" si="4" ref="D28:M28">D15+D26</f>
        <v>8040</v>
      </c>
      <c r="E28" s="23">
        <f t="shared" si="4"/>
        <v>6151.950000000001</v>
      </c>
      <c r="F28" s="23">
        <f t="shared" si="4"/>
        <v>10293.359999999999</v>
      </c>
      <c r="G28" s="23">
        <f t="shared" si="4"/>
        <v>9582</v>
      </c>
      <c r="H28" s="23">
        <f t="shared" si="4"/>
        <v>9867.238238221878</v>
      </c>
      <c r="I28" s="23">
        <f t="shared" si="4"/>
        <v>9983.28675345</v>
      </c>
      <c r="J28" s="23">
        <f t="shared" si="4"/>
        <v>10437.383435703126</v>
      </c>
      <c r="K28" s="23">
        <f t="shared" si="4"/>
        <v>10551.831066590974</v>
      </c>
      <c r="L28" s="23">
        <f t="shared" si="4"/>
        <v>10814.146141045763</v>
      </c>
      <c r="M28" s="24">
        <f t="shared" si="4"/>
        <v>11071.2902274585</v>
      </c>
    </row>
    <row r="29" spans="2:13" ht="12.75">
      <c r="B29" s="326"/>
      <c r="C29" s="331"/>
      <c r="D29" s="19"/>
      <c r="E29" s="19"/>
      <c r="F29" s="19"/>
      <c r="G29" s="19"/>
      <c r="H29" s="19"/>
      <c r="I29" s="19"/>
      <c r="J29" s="19"/>
      <c r="K29" s="19"/>
      <c r="L29" s="19"/>
      <c r="M29" s="20"/>
    </row>
    <row r="30" spans="2:13" ht="12.75">
      <c r="B30" s="357" t="s">
        <v>47</v>
      </c>
      <c r="C30" s="358"/>
      <c r="D30" s="287"/>
      <c r="E30" s="287"/>
      <c r="F30" s="287"/>
      <c r="G30" s="287"/>
      <c r="H30" s="287"/>
      <c r="I30" s="287"/>
      <c r="J30" s="287"/>
      <c r="K30" s="287"/>
      <c r="L30" s="287"/>
      <c r="M30" s="288"/>
    </row>
    <row r="31" spans="2:13" ht="12.75">
      <c r="B31" s="359"/>
      <c r="C31" s="360"/>
      <c r="D31" s="287"/>
      <c r="E31" s="287"/>
      <c r="F31" s="287"/>
      <c r="G31" s="287"/>
      <c r="H31" s="287"/>
      <c r="I31" s="287"/>
      <c r="J31" s="287"/>
      <c r="K31" s="287"/>
      <c r="L31" s="287"/>
      <c r="M31" s="288"/>
    </row>
    <row r="32" spans="2:13" ht="12.75">
      <c r="B32" s="340" t="s">
        <v>48</v>
      </c>
      <c r="C32" s="337"/>
      <c r="D32" s="19">
        <v>-3421</v>
      </c>
      <c r="E32" s="19">
        <f>'Cap Wks'!F11*-1</f>
        <v>-1250</v>
      </c>
      <c r="F32" s="19"/>
      <c r="G32" s="19">
        <f>'Cap Wks'!H11*-1</f>
        <v>-75</v>
      </c>
      <c r="H32" s="19">
        <f>'Cap Wks'!I11*-1</f>
        <v>-400</v>
      </c>
      <c r="I32" s="19">
        <f>'Cap Wks'!J11*-1</f>
        <v>-300</v>
      </c>
      <c r="J32" s="19">
        <f>'Cap Wks'!K11*-1</f>
        <v>-100</v>
      </c>
      <c r="K32" s="19">
        <f>'Cap Wks'!L11*-1</f>
        <v>-500</v>
      </c>
      <c r="L32" s="19">
        <f>'Cap Wks'!M11*-1</f>
        <v>-275</v>
      </c>
      <c r="M32" s="20">
        <f>'Cap Wks'!N11*-1</f>
        <v>-300</v>
      </c>
    </row>
    <row r="33" spans="2:13" ht="12.75">
      <c r="B33" s="340" t="s">
        <v>49</v>
      </c>
      <c r="C33" s="342"/>
      <c r="D33" s="19">
        <v>-2347</v>
      </c>
      <c r="E33" s="19">
        <f>(('Cap Wks'!F15-'Cap Wks'!F11)+'Cap Wks'!F24+'Cap Wks'!F35+'Cap Wks'!F42)*-1</f>
        <v>-1614</v>
      </c>
      <c r="F33" s="19">
        <f>('Cap Wks'!G15+'Cap Wks'!G24+'Cap Wks'!G35+'Cap Wks'!G42)*-1</f>
        <v>-2925</v>
      </c>
      <c r="G33" s="19">
        <f>(('Cap Wks'!H15-'Cap Wks'!H11)+'Cap Wks'!H24+'Cap Wks'!H35+'Cap Wks'!H42)*-1</f>
        <v>-4090</v>
      </c>
      <c r="H33" s="19">
        <f>(('Cap Wks'!I15-'Cap Wks'!I11)+'Cap Wks'!I24+'Cap Wks'!I35+'Cap Wks'!I42)*-1</f>
        <v>-3375</v>
      </c>
      <c r="I33" s="19">
        <f>(('Cap Wks'!J15-'Cap Wks'!J11)+'Cap Wks'!J24+'Cap Wks'!J35+'Cap Wks'!J42)*-1</f>
        <v>-6530</v>
      </c>
      <c r="J33" s="19">
        <f>(('Cap Wks'!K15-'Cap Wks'!K11)+'Cap Wks'!K24+'Cap Wks'!K35+'Cap Wks'!K42)*-1</f>
        <v>-8090</v>
      </c>
      <c r="K33" s="19">
        <f>(('Cap Wks'!L15-'Cap Wks'!L11)+'Cap Wks'!L24+'Cap Wks'!L35+'Cap Wks'!L42)*-1</f>
        <v>-5255</v>
      </c>
      <c r="L33" s="19">
        <f>(('Cap Wks'!M15-'Cap Wks'!M11)+'Cap Wks'!M24+'Cap Wks'!M35+'Cap Wks'!M42)*-1</f>
        <v>-4170</v>
      </c>
      <c r="M33" s="20">
        <f>(('Cap Wks'!N15-'Cap Wks'!N11)+'Cap Wks'!N24+'Cap Wks'!N35+'Cap Wks'!N42)*-1</f>
        <v>-4985</v>
      </c>
    </row>
    <row r="34" spans="2:13" ht="12.75">
      <c r="B34" s="340" t="s">
        <v>50</v>
      </c>
      <c r="C34" s="342"/>
      <c r="D34" s="19">
        <v>-9691</v>
      </c>
      <c r="E34" s="19">
        <f>('Cap Wks'!F57+'Cap Wks'!F66)*-1</f>
        <v>-8993.82</v>
      </c>
      <c r="F34" s="19">
        <f>('Cap Wks'!G57+'Cap Wks'!G66)*-1</f>
        <v>-9498.134600000001</v>
      </c>
      <c r="G34" s="19">
        <f>('Cap Wks'!H57+'Cap Wks'!H66)*-1</f>
        <v>-9957.078638</v>
      </c>
      <c r="H34" s="19">
        <f>('Cap Wks'!I57+'Cap Wks'!I66)*-1</f>
        <v>-6788.188566100001</v>
      </c>
      <c r="I34" s="19">
        <f>('Cap Wks'!J57+'Cap Wks'!J66)*-1</f>
        <v>-7166.834223083</v>
      </c>
      <c r="J34" s="19">
        <f>('Cap Wks'!K57+'Cap Wks'!K66)*-1</f>
        <v>-7599.33924977549</v>
      </c>
      <c r="K34" s="19">
        <f>('Cap Wks'!L57+'Cap Wks'!L66)*-1</f>
        <v>-7985.819427268756</v>
      </c>
      <c r="L34" s="19">
        <f>('Cap Wks'!M57+'Cap Wks'!M66)*-1</f>
        <v>-8426.394010086819</v>
      </c>
      <c r="M34" s="20">
        <f>('Cap Wks'!N57+'Cap Wks'!N66)*-1</f>
        <v>-8571.185830389422</v>
      </c>
    </row>
    <row r="35" spans="2:13" ht="12.75">
      <c r="B35" s="340" t="s">
        <v>51</v>
      </c>
      <c r="C35" s="342"/>
      <c r="D35" s="19"/>
      <c r="E35" s="19"/>
      <c r="F35" s="19"/>
      <c r="G35" s="19"/>
      <c r="H35" s="19"/>
      <c r="I35" s="19"/>
      <c r="J35" s="19"/>
      <c r="K35" s="19"/>
      <c r="L35" s="19"/>
      <c r="M35" s="20"/>
    </row>
    <row r="36" spans="2:13" ht="12.75">
      <c r="B36" s="340" t="s">
        <v>52</v>
      </c>
      <c r="C36" s="342"/>
      <c r="D36" s="19">
        <v>0</v>
      </c>
      <c r="E36" s="19"/>
      <c r="F36" s="19"/>
      <c r="G36" s="19"/>
      <c r="H36" s="19"/>
      <c r="I36" s="19"/>
      <c r="J36" s="19"/>
      <c r="K36" s="19"/>
      <c r="L36" s="19"/>
      <c r="M36" s="20"/>
    </row>
    <row r="37" spans="2:13" ht="12.75">
      <c r="B37" s="340" t="s">
        <v>53</v>
      </c>
      <c r="C37" s="352"/>
      <c r="D37" s="31">
        <v>6658</v>
      </c>
      <c r="E37" s="31">
        <f>'SCI PR'!E51</f>
        <v>5100</v>
      </c>
      <c r="F37" s="31">
        <f>'SCI PR'!F51</f>
        <v>5200</v>
      </c>
      <c r="G37" s="31">
        <f>'SCI PR'!G51</f>
        <v>5400</v>
      </c>
      <c r="H37" s="31">
        <f>'SCI PR'!H51</f>
        <v>2700</v>
      </c>
      <c r="I37" s="31">
        <f>'SCI PR'!I51</f>
        <v>2700</v>
      </c>
      <c r="J37" s="31">
        <f>'SCI PR'!J51</f>
        <v>2920</v>
      </c>
      <c r="K37" s="31">
        <f>'SCI PR'!K51</f>
        <v>2920</v>
      </c>
      <c r="L37" s="225">
        <f>'SCI PR'!L51</f>
        <v>3000</v>
      </c>
      <c r="M37" s="229">
        <f>'SCI PR'!M51</f>
        <v>3130</v>
      </c>
    </row>
    <row r="38" spans="2:13" ht="12.75">
      <c r="B38" s="340" t="s">
        <v>54</v>
      </c>
      <c r="C38" s="337"/>
      <c r="D38" s="41">
        <f>'Cap Wks'!E70-'Cap Wks'!E17</f>
        <v>242</v>
      </c>
      <c r="E38" s="41">
        <f>'Cap Wks'!F70-'Cap Wks'!F17</f>
        <v>195</v>
      </c>
      <c r="F38" s="41">
        <f>'Cap Wks'!G70-'Cap Wks'!G17</f>
        <v>200</v>
      </c>
      <c r="G38" s="41">
        <f>'Cap Wks'!H70-'Cap Wks'!H17</f>
        <v>345</v>
      </c>
      <c r="H38" s="41">
        <f>'Cap Wks'!I70-'Cap Wks'!I17</f>
        <v>400</v>
      </c>
      <c r="I38" s="41">
        <f>'Cap Wks'!J70-'Cap Wks'!J17</f>
        <v>235</v>
      </c>
      <c r="J38" s="41">
        <f>'Cap Wks'!K70-'Cap Wks'!K17</f>
        <v>395</v>
      </c>
      <c r="K38" s="41">
        <f>'Cap Wks'!L70-'Cap Wks'!L17</f>
        <v>320</v>
      </c>
      <c r="L38" s="41">
        <f>'Cap Wks'!M70-'Cap Wks'!M17</f>
        <v>288</v>
      </c>
      <c r="M38" s="42">
        <f>'Cap Wks'!N70-'Cap Wks'!N17</f>
        <v>410</v>
      </c>
    </row>
    <row r="39" spans="2:13" ht="12.75">
      <c r="B39" s="340" t="s">
        <v>216</v>
      </c>
      <c r="C39" s="337"/>
      <c r="D39" s="33">
        <f>'Cap Wks'!E17</f>
        <v>360</v>
      </c>
      <c r="E39" s="33">
        <f>'Cap Wks'!F17</f>
        <v>3000</v>
      </c>
      <c r="F39" s="33">
        <f>'Cap Wks'!G17</f>
        <v>3250</v>
      </c>
      <c r="G39" s="33"/>
      <c r="H39" s="33"/>
      <c r="I39" s="33"/>
      <c r="J39" s="33"/>
      <c r="K39" s="33"/>
      <c r="L39" s="33"/>
      <c r="M39" s="34"/>
    </row>
    <row r="40" spans="2:13" ht="12.75">
      <c r="B40" s="325" t="s">
        <v>55</v>
      </c>
      <c r="C40" s="356"/>
      <c r="D40" s="27">
        <f aca="true" t="shared" si="5" ref="D40:M40">SUM(D32:D39)</f>
        <v>-8199</v>
      </c>
      <c r="E40" s="27">
        <f t="shared" si="5"/>
        <v>-3562.8199999999997</v>
      </c>
      <c r="F40" s="27">
        <f t="shared" si="5"/>
        <v>-3773.1346000000012</v>
      </c>
      <c r="G40" s="27">
        <f t="shared" si="5"/>
        <v>-8377.078638</v>
      </c>
      <c r="H40" s="27">
        <f t="shared" si="5"/>
        <v>-7463.1885661000015</v>
      </c>
      <c r="I40" s="27">
        <f t="shared" si="5"/>
        <v>-11061.834223083</v>
      </c>
      <c r="J40" s="27">
        <f t="shared" si="5"/>
        <v>-12474.33924977549</v>
      </c>
      <c r="K40" s="27">
        <f t="shared" si="5"/>
        <v>-10500.819427268756</v>
      </c>
      <c r="L40" s="27">
        <f t="shared" si="5"/>
        <v>-9583.394010086819</v>
      </c>
      <c r="M40" s="28">
        <f t="shared" si="5"/>
        <v>-10316.185830389422</v>
      </c>
    </row>
    <row r="41" spans="2:13" ht="13.5" thickBot="1">
      <c r="B41" s="329"/>
      <c r="C41" s="330"/>
      <c r="D41" s="152"/>
      <c r="E41" s="152"/>
      <c r="F41" s="152"/>
      <c r="G41" s="152"/>
      <c r="H41" s="152"/>
      <c r="I41" s="152"/>
      <c r="J41" s="152"/>
      <c r="K41" s="152"/>
      <c r="L41" s="152"/>
      <c r="M41" s="153"/>
    </row>
    <row r="42" spans="2:13" ht="12.75">
      <c r="B42" s="357" t="s">
        <v>56</v>
      </c>
      <c r="C42" s="365"/>
      <c r="D42" s="287"/>
      <c r="E42" s="287"/>
      <c r="F42" s="287"/>
      <c r="G42" s="287"/>
      <c r="H42" s="287"/>
      <c r="I42" s="287"/>
      <c r="J42" s="287"/>
      <c r="K42" s="287"/>
      <c r="L42" s="287"/>
      <c r="M42" s="288"/>
    </row>
    <row r="43" spans="2:13" ht="12.75">
      <c r="B43" s="359"/>
      <c r="C43" s="360"/>
      <c r="D43" s="287"/>
      <c r="E43" s="287"/>
      <c r="F43" s="287"/>
      <c r="G43" s="287"/>
      <c r="H43" s="287"/>
      <c r="I43" s="287"/>
      <c r="J43" s="287"/>
      <c r="K43" s="287"/>
      <c r="L43" s="287"/>
      <c r="M43" s="288"/>
    </row>
    <row r="44" spans="2:13" ht="12.75">
      <c r="B44" s="340" t="s">
        <v>57</v>
      </c>
      <c r="C44" s="352"/>
      <c r="D44" s="31">
        <v>-84</v>
      </c>
      <c r="E44" s="31">
        <f>Loans!E82*-1</f>
        <v>-128</v>
      </c>
      <c r="F44" s="31">
        <f>Loans!F82*-1</f>
        <v>-138</v>
      </c>
      <c r="G44" s="31">
        <f>Loans!G82*-1</f>
        <v>-135</v>
      </c>
      <c r="H44" s="31">
        <f>Loans!H82*-1</f>
        <v>-144</v>
      </c>
      <c r="I44" s="31">
        <f>Loans!I82*-1</f>
        <v>-162</v>
      </c>
      <c r="J44" s="31">
        <f>Loans!J82*-1</f>
        <v>-195</v>
      </c>
      <c r="K44" s="31">
        <f>Loans!K82*-1</f>
        <v>-221</v>
      </c>
      <c r="L44" s="225">
        <f>Loans!L82*-1</f>
        <v>-168</v>
      </c>
      <c r="M44" s="229">
        <f>Loans!M82*-1</f>
        <v>-147</v>
      </c>
    </row>
    <row r="45" spans="2:13" ht="12.75">
      <c r="B45" s="340" t="s">
        <v>63</v>
      </c>
      <c r="C45" s="352"/>
      <c r="D45" s="31">
        <v>25</v>
      </c>
      <c r="E45" s="31">
        <f>Loans!E51</f>
        <v>39</v>
      </c>
      <c r="F45" s="31">
        <f>Loans!F51</f>
        <v>43</v>
      </c>
      <c r="G45" s="31">
        <f>Loans!G51</f>
        <v>33</v>
      </c>
      <c r="H45" s="31">
        <f>Loans!H51</f>
        <v>36</v>
      </c>
      <c r="I45" s="31">
        <f>Loans!I51</f>
        <v>39</v>
      </c>
      <c r="J45" s="31">
        <f>Loans!J51</f>
        <v>42</v>
      </c>
      <c r="K45" s="31">
        <f>Loans!K51</f>
        <v>45</v>
      </c>
      <c r="L45" s="225">
        <f>Loans!L51</f>
        <v>39</v>
      </c>
      <c r="M45" s="229">
        <f>Loans!M51</f>
        <v>11</v>
      </c>
    </row>
    <row r="46" spans="2:13" ht="12.75">
      <c r="B46" s="340" t="s">
        <v>58</v>
      </c>
      <c r="C46" s="337"/>
      <c r="D46" s="33">
        <v>320</v>
      </c>
      <c r="E46" s="33"/>
      <c r="F46" s="33"/>
      <c r="G46" s="33"/>
      <c r="H46" s="33"/>
      <c r="I46" s="33">
        <f>Loans!I70</f>
        <v>500</v>
      </c>
      <c r="J46" s="33">
        <f>Loans!J73</f>
        <v>1000</v>
      </c>
      <c r="K46" s="33"/>
      <c r="L46" s="33"/>
      <c r="M46" s="34"/>
    </row>
    <row r="47" spans="2:13" ht="12.75">
      <c r="B47" s="325" t="s">
        <v>59</v>
      </c>
      <c r="C47" s="356"/>
      <c r="D47" s="27">
        <f>SUM(D44:D46)</f>
        <v>261</v>
      </c>
      <c r="E47" s="27">
        <f aca="true" t="shared" si="6" ref="E47:M47">SUM(E44:E46)</f>
        <v>-89</v>
      </c>
      <c r="F47" s="27">
        <f t="shared" si="6"/>
        <v>-95</v>
      </c>
      <c r="G47" s="27">
        <f t="shared" si="6"/>
        <v>-102</v>
      </c>
      <c r="H47" s="27">
        <f t="shared" si="6"/>
        <v>-108</v>
      </c>
      <c r="I47" s="27">
        <f t="shared" si="6"/>
        <v>377</v>
      </c>
      <c r="J47" s="27">
        <f t="shared" si="6"/>
        <v>847</v>
      </c>
      <c r="K47" s="27">
        <f t="shared" si="6"/>
        <v>-176</v>
      </c>
      <c r="L47" s="27">
        <f t="shared" si="6"/>
        <v>-129</v>
      </c>
      <c r="M47" s="28">
        <f t="shared" si="6"/>
        <v>-136</v>
      </c>
    </row>
    <row r="48" spans="2:13" ht="12.75">
      <c r="B48" s="325"/>
      <c r="C48" s="356"/>
      <c r="D48" s="33"/>
      <c r="E48" s="33"/>
      <c r="F48" s="33"/>
      <c r="G48" s="33"/>
      <c r="H48" s="33"/>
      <c r="I48" s="33"/>
      <c r="J48" s="33"/>
      <c r="K48" s="33"/>
      <c r="L48" s="33"/>
      <c r="M48" s="34"/>
    </row>
    <row r="49" spans="2:13" ht="12.75">
      <c r="B49" s="361" t="s">
        <v>60</v>
      </c>
      <c r="C49" s="342"/>
      <c r="D49" s="33">
        <f aca="true" t="shared" si="7" ref="D49:M49">D28+D40+D47</f>
        <v>102</v>
      </c>
      <c r="E49" s="33">
        <f t="shared" si="7"/>
        <v>2500.130000000001</v>
      </c>
      <c r="F49" s="33">
        <f t="shared" si="7"/>
        <v>6425.2253999999975</v>
      </c>
      <c r="G49" s="33">
        <f t="shared" si="7"/>
        <v>1102.9213619999991</v>
      </c>
      <c r="H49" s="33">
        <f t="shared" si="7"/>
        <v>2296.049672121877</v>
      </c>
      <c r="I49" s="33">
        <f t="shared" si="7"/>
        <v>-701.5474696330002</v>
      </c>
      <c r="J49" s="33">
        <f t="shared" si="7"/>
        <v>-1189.9558140723639</v>
      </c>
      <c r="K49" s="33">
        <f t="shared" si="7"/>
        <v>-124.98836067778211</v>
      </c>
      <c r="L49" s="33">
        <f t="shared" si="7"/>
        <v>1101.7521309589447</v>
      </c>
      <c r="M49" s="34">
        <f t="shared" si="7"/>
        <v>619.1043970690771</v>
      </c>
    </row>
    <row r="50" spans="2:13" ht="13.5" thickBot="1">
      <c r="B50" s="340" t="s">
        <v>61</v>
      </c>
      <c r="C50" s="352"/>
      <c r="D50" s="35">
        <v>7282</v>
      </c>
      <c r="E50" s="35">
        <f>D51</f>
        <v>7384</v>
      </c>
      <c r="F50" s="35">
        <f aca="true" t="shared" si="8" ref="F50:M50">E51</f>
        <v>9884.130000000001</v>
      </c>
      <c r="G50" s="35">
        <f t="shared" si="8"/>
        <v>16309.355399999999</v>
      </c>
      <c r="H50" s="35">
        <f t="shared" si="8"/>
        <v>17412.276761999998</v>
      </c>
      <c r="I50" s="35">
        <f t="shared" si="8"/>
        <v>19708.326434121875</v>
      </c>
      <c r="J50" s="35">
        <f t="shared" si="8"/>
        <v>19006.778964488876</v>
      </c>
      <c r="K50" s="35">
        <f t="shared" si="8"/>
        <v>17816.823150416512</v>
      </c>
      <c r="L50" s="226">
        <f t="shared" si="8"/>
        <v>17691.83478973873</v>
      </c>
      <c r="M50" s="230">
        <f t="shared" si="8"/>
        <v>18793.58692069767</v>
      </c>
    </row>
    <row r="51" spans="2:13" ht="13.5" thickBot="1">
      <c r="B51" s="323" t="s">
        <v>62</v>
      </c>
      <c r="C51" s="324"/>
      <c r="D51" s="275">
        <f>SUM(D49:D50)</f>
        <v>7384</v>
      </c>
      <c r="E51" s="275">
        <f aca="true" t="shared" si="9" ref="E51:M51">SUM(E49:E50)</f>
        <v>9884.130000000001</v>
      </c>
      <c r="F51" s="275">
        <f t="shared" si="9"/>
        <v>16309.355399999999</v>
      </c>
      <c r="G51" s="275">
        <f t="shared" si="9"/>
        <v>17412.276761999998</v>
      </c>
      <c r="H51" s="275">
        <f t="shared" si="9"/>
        <v>19708.326434121875</v>
      </c>
      <c r="I51" s="275">
        <f t="shared" si="9"/>
        <v>19006.778964488876</v>
      </c>
      <c r="J51" s="275">
        <f t="shared" si="9"/>
        <v>17816.823150416512</v>
      </c>
      <c r="K51" s="275">
        <f t="shared" si="9"/>
        <v>17691.83478973873</v>
      </c>
      <c r="L51" s="276">
        <f t="shared" si="9"/>
        <v>18793.58692069767</v>
      </c>
      <c r="M51" s="277">
        <f t="shared" si="9"/>
        <v>19412.69131776675</v>
      </c>
    </row>
    <row r="52" spans="2:13" ht="14.25" thickBot="1" thickTop="1">
      <c r="B52" s="3"/>
      <c r="C52" s="4"/>
      <c r="D52" s="5"/>
      <c r="E52" s="5"/>
      <c r="F52" s="220"/>
      <c r="G52" s="220"/>
      <c r="H52" s="220"/>
      <c r="I52" s="220"/>
      <c r="J52" s="220"/>
      <c r="K52" s="220"/>
      <c r="L52" s="227"/>
      <c r="M52" s="231"/>
    </row>
  </sheetData>
  <mergeCells count="47">
    <mergeCell ref="B38:C38"/>
    <mergeCell ref="B32:C32"/>
    <mergeCell ref="B45:C45"/>
    <mergeCell ref="B48:C48"/>
    <mergeCell ref="B43:C43"/>
    <mergeCell ref="B44:C44"/>
    <mergeCell ref="B46:C46"/>
    <mergeCell ref="B37:C37"/>
    <mergeCell ref="B35:C35"/>
    <mergeCell ref="B36:C36"/>
    <mergeCell ref="B41:C41"/>
    <mergeCell ref="B42:C42"/>
    <mergeCell ref="B10:C10"/>
    <mergeCell ref="B13:C13"/>
    <mergeCell ref="B14:C14"/>
    <mergeCell ref="B15:C15"/>
    <mergeCell ref="B19:C19"/>
    <mergeCell ref="B11:C11"/>
    <mergeCell ref="B12:C12"/>
    <mergeCell ref="B18:C18"/>
    <mergeCell ref="B17:C17"/>
    <mergeCell ref="B2:M2"/>
    <mergeCell ref="B3:M3"/>
    <mergeCell ref="B4:M4"/>
    <mergeCell ref="B9:C9"/>
    <mergeCell ref="B7:C7"/>
    <mergeCell ref="B8:C8"/>
    <mergeCell ref="B50:C50"/>
    <mergeCell ref="B22:C22"/>
    <mergeCell ref="B23:C23"/>
    <mergeCell ref="B24:C24"/>
    <mergeCell ref="B25:C25"/>
    <mergeCell ref="B30:C30"/>
    <mergeCell ref="B31:C31"/>
    <mergeCell ref="B33:C33"/>
    <mergeCell ref="B34:C34"/>
    <mergeCell ref="B49:C49"/>
    <mergeCell ref="B51:C51"/>
    <mergeCell ref="B20:C20"/>
    <mergeCell ref="B21:C21"/>
    <mergeCell ref="B27:C27"/>
    <mergeCell ref="B28:C28"/>
    <mergeCell ref="B29:C29"/>
    <mergeCell ref="B47:C47"/>
    <mergeCell ref="B26:C26"/>
    <mergeCell ref="B39:C39"/>
    <mergeCell ref="B40:C4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Footer>&amp;CPage &amp;P of &amp;N</oddFooter>
  </headerFooter>
  <rowBreaks count="1" manualBreakCount="1">
    <brk id="41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N69"/>
  <sheetViews>
    <sheetView showGridLines="0" tabSelected="1" zoomScaleSheetLayoutView="100" workbookViewId="0" topLeftCell="A33">
      <selection activeCell="B57" sqref="B57:C57"/>
    </sheetView>
  </sheetViews>
  <sheetFormatPr defaultColWidth="9.140625" defaultRowHeight="12.75"/>
  <cols>
    <col min="1" max="1" width="5.28125" style="0" customWidth="1"/>
    <col min="2" max="2" width="5.57421875" style="0" customWidth="1"/>
    <col min="3" max="3" width="30.28125" style="0" customWidth="1"/>
    <col min="4" max="6" width="11.00390625" style="0" customWidth="1"/>
    <col min="7" max="14" width="11.00390625" style="91" customWidth="1"/>
  </cols>
  <sheetData>
    <row r="1" ht="13.5" thickBot="1"/>
    <row r="2" spans="2:14" ht="23.25">
      <c r="B2" s="343" t="s">
        <v>351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5"/>
    </row>
    <row r="3" spans="2:14" ht="21">
      <c r="B3" s="346" t="s">
        <v>64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8"/>
    </row>
    <row r="4" spans="2:14" ht="16.5" thickBot="1">
      <c r="B4" s="349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1"/>
    </row>
    <row r="5" spans="2:14" ht="12.75">
      <c r="B5" s="11"/>
      <c r="C5" s="12"/>
      <c r="D5" s="12"/>
      <c r="E5" s="9" t="s">
        <v>0</v>
      </c>
      <c r="F5" s="9" t="s">
        <v>1</v>
      </c>
      <c r="G5" s="197" t="s">
        <v>2</v>
      </c>
      <c r="H5" s="197" t="s">
        <v>3</v>
      </c>
      <c r="I5" s="197" t="s">
        <v>4</v>
      </c>
      <c r="J5" s="197" t="s">
        <v>5</v>
      </c>
      <c r="K5" s="197" t="s">
        <v>6</v>
      </c>
      <c r="L5" s="197" t="s">
        <v>7</v>
      </c>
      <c r="M5" s="197" t="s">
        <v>8</v>
      </c>
      <c r="N5" s="221" t="s">
        <v>9</v>
      </c>
    </row>
    <row r="6" spans="2:14" ht="13.5" thickBot="1">
      <c r="B6" s="13"/>
      <c r="C6" s="14"/>
      <c r="D6" s="14"/>
      <c r="E6" s="15" t="s">
        <v>10</v>
      </c>
      <c r="F6" s="15" t="s">
        <v>10</v>
      </c>
      <c r="G6" s="198" t="s">
        <v>10</v>
      </c>
      <c r="H6" s="198" t="s">
        <v>10</v>
      </c>
      <c r="I6" s="198" t="s">
        <v>10</v>
      </c>
      <c r="J6" s="198" t="s">
        <v>10</v>
      </c>
      <c r="K6" s="198" t="s">
        <v>10</v>
      </c>
      <c r="L6" s="198" t="s">
        <v>10</v>
      </c>
      <c r="M6" s="198" t="s">
        <v>10</v>
      </c>
      <c r="N6" s="232" t="s">
        <v>10</v>
      </c>
    </row>
    <row r="7" spans="2:14" ht="12.75">
      <c r="B7" s="363" t="s">
        <v>65</v>
      </c>
      <c r="C7" s="364"/>
      <c r="D7" s="281"/>
      <c r="E7" s="289"/>
      <c r="F7" s="289"/>
      <c r="G7" s="289"/>
      <c r="H7" s="289"/>
      <c r="I7" s="289"/>
      <c r="J7" s="289"/>
      <c r="K7" s="289"/>
      <c r="L7" s="289"/>
      <c r="M7" s="289"/>
      <c r="N7" s="290"/>
    </row>
    <row r="8" spans="2:14" ht="12.75">
      <c r="B8" s="359" t="s">
        <v>66</v>
      </c>
      <c r="C8" s="360"/>
      <c r="D8" s="284"/>
      <c r="E8" s="291"/>
      <c r="F8" s="291"/>
      <c r="G8" s="291"/>
      <c r="H8" s="291"/>
      <c r="I8" s="291"/>
      <c r="J8" s="291"/>
      <c r="K8" s="291"/>
      <c r="L8" s="291"/>
      <c r="M8" s="291"/>
      <c r="N8" s="292"/>
    </row>
    <row r="9" spans="2:14" ht="12.75">
      <c r="B9" s="340" t="s">
        <v>71</v>
      </c>
      <c r="C9" s="341"/>
      <c r="D9" s="47"/>
      <c r="E9" s="266">
        <v>7385</v>
      </c>
      <c r="F9" s="266">
        <f>CFS!E51</f>
        <v>9884.130000000001</v>
      </c>
      <c r="G9" s="266">
        <v>16309</v>
      </c>
      <c r="H9" s="266">
        <f>CFS!G51</f>
        <v>17412.276761999998</v>
      </c>
      <c r="I9" s="266">
        <f>CFS!H51</f>
        <v>19708.326434121875</v>
      </c>
      <c r="J9" s="266">
        <f>CFS!I51</f>
        <v>19006.778964488876</v>
      </c>
      <c r="K9" s="266">
        <f>CFS!J51</f>
        <v>17816.823150416512</v>
      </c>
      <c r="L9" s="266">
        <f>CFS!K51</f>
        <v>17691.83478973873</v>
      </c>
      <c r="M9" s="266">
        <f>CFS!L51</f>
        <v>18793.58692069767</v>
      </c>
      <c r="N9" s="267">
        <f>CFS!M51</f>
        <v>19412.69131776675</v>
      </c>
    </row>
    <row r="10" spans="2:14" ht="12.75">
      <c r="B10" s="336" t="s">
        <v>68</v>
      </c>
      <c r="C10" s="337"/>
      <c r="D10" s="47"/>
      <c r="E10" s="256">
        <v>749</v>
      </c>
      <c r="F10" s="256">
        <f>E10*1.05+250</f>
        <v>1036.45</v>
      </c>
      <c r="G10" s="256">
        <f aca="true" t="shared" si="0" ref="G10:N10">F10*1.05</f>
        <v>1088.2725</v>
      </c>
      <c r="H10" s="256">
        <v>867</v>
      </c>
      <c r="I10" s="256">
        <f t="shared" si="0"/>
        <v>910.35</v>
      </c>
      <c r="J10" s="256">
        <f t="shared" si="0"/>
        <v>955.8675000000001</v>
      </c>
      <c r="K10" s="256">
        <f t="shared" si="0"/>
        <v>1003.6608750000001</v>
      </c>
      <c r="L10" s="256">
        <f t="shared" si="0"/>
        <v>1053.8439187500003</v>
      </c>
      <c r="M10" s="256">
        <f t="shared" si="0"/>
        <v>1106.5361146875005</v>
      </c>
      <c r="N10" s="257">
        <f t="shared" si="0"/>
        <v>1161.8629204218755</v>
      </c>
    </row>
    <row r="11" spans="2:14" ht="12.75">
      <c r="B11" s="340" t="s">
        <v>69</v>
      </c>
      <c r="C11" s="342"/>
      <c r="D11" s="49"/>
      <c r="E11" s="256">
        <v>703</v>
      </c>
      <c r="F11" s="256">
        <v>703</v>
      </c>
      <c r="G11" s="256">
        <f aca="true" t="shared" si="1" ref="G11:N11">F11*1.05</f>
        <v>738.15</v>
      </c>
      <c r="H11" s="256">
        <f t="shared" si="1"/>
        <v>775.0575</v>
      </c>
      <c r="I11" s="256">
        <f t="shared" si="1"/>
        <v>813.810375</v>
      </c>
      <c r="J11" s="256">
        <f t="shared" si="1"/>
        <v>854.50089375</v>
      </c>
      <c r="K11" s="256">
        <f t="shared" si="1"/>
        <v>897.2259384375001</v>
      </c>
      <c r="L11" s="256">
        <f t="shared" si="1"/>
        <v>942.0872353593751</v>
      </c>
      <c r="M11" s="256">
        <f t="shared" si="1"/>
        <v>989.1915971273439</v>
      </c>
      <c r="N11" s="257">
        <f t="shared" si="1"/>
        <v>1038.6511769837111</v>
      </c>
    </row>
    <row r="12" spans="2:14" ht="12.75">
      <c r="B12" s="48" t="s">
        <v>337</v>
      </c>
      <c r="C12" s="49"/>
      <c r="D12" s="49"/>
      <c r="E12" s="256">
        <v>0</v>
      </c>
      <c r="F12" s="256">
        <v>1250</v>
      </c>
      <c r="G12" s="256">
        <v>0</v>
      </c>
      <c r="H12" s="256">
        <v>0</v>
      </c>
      <c r="I12" s="256">
        <v>0</v>
      </c>
      <c r="J12" s="256">
        <v>0</v>
      </c>
      <c r="K12" s="256">
        <v>0</v>
      </c>
      <c r="L12" s="256">
        <v>0</v>
      </c>
      <c r="M12" s="256">
        <v>0</v>
      </c>
      <c r="N12" s="257">
        <v>0</v>
      </c>
    </row>
    <row r="13" spans="2:14" ht="12.75">
      <c r="B13" s="338" t="s">
        <v>70</v>
      </c>
      <c r="C13" s="339"/>
      <c r="D13" s="22"/>
      <c r="E13" s="258">
        <f>SUM(E9:E12)</f>
        <v>8837</v>
      </c>
      <c r="F13" s="258">
        <f aca="true" t="shared" si="2" ref="F13:N13">SUM(F9:F12)</f>
        <v>12873.580000000002</v>
      </c>
      <c r="G13" s="258">
        <f t="shared" si="2"/>
        <v>18135.4225</v>
      </c>
      <c r="H13" s="258">
        <f t="shared" si="2"/>
        <v>19054.334261999997</v>
      </c>
      <c r="I13" s="258">
        <f t="shared" si="2"/>
        <v>21432.486809121874</v>
      </c>
      <c r="J13" s="258">
        <f t="shared" si="2"/>
        <v>20817.147358238875</v>
      </c>
      <c r="K13" s="258">
        <f t="shared" si="2"/>
        <v>19717.709963854013</v>
      </c>
      <c r="L13" s="258">
        <f t="shared" si="2"/>
        <v>19687.765943848106</v>
      </c>
      <c r="M13" s="258">
        <f t="shared" si="2"/>
        <v>20889.314632512516</v>
      </c>
      <c r="N13" s="259">
        <f t="shared" si="2"/>
        <v>21613.205415172335</v>
      </c>
    </row>
    <row r="14" spans="2:14" ht="12.75">
      <c r="B14" s="21"/>
      <c r="C14" s="22"/>
      <c r="D14" s="22"/>
      <c r="E14" s="260"/>
      <c r="F14" s="260"/>
      <c r="G14" s="260"/>
      <c r="H14" s="260"/>
      <c r="I14" s="260"/>
      <c r="J14" s="260"/>
      <c r="K14" s="260"/>
      <c r="L14" s="260"/>
      <c r="M14" s="260"/>
      <c r="N14" s="261"/>
    </row>
    <row r="15" spans="2:14" s="43" customFormat="1" ht="12.75">
      <c r="B15" s="357"/>
      <c r="C15" s="365"/>
      <c r="D15" s="284"/>
      <c r="E15" s="291"/>
      <c r="F15" s="291"/>
      <c r="G15" s="291"/>
      <c r="H15" s="291"/>
      <c r="I15" s="291"/>
      <c r="J15" s="291"/>
      <c r="K15" s="291"/>
      <c r="L15" s="291"/>
      <c r="M15" s="291"/>
      <c r="N15" s="292"/>
    </row>
    <row r="16" spans="2:14" s="43" customFormat="1" ht="12.75">
      <c r="B16" s="359" t="s">
        <v>67</v>
      </c>
      <c r="C16" s="360"/>
      <c r="D16" s="284"/>
      <c r="E16" s="291"/>
      <c r="F16" s="291"/>
      <c r="G16" s="291"/>
      <c r="H16" s="291"/>
      <c r="I16" s="291"/>
      <c r="J16" s="291"/>
      <c r="K16" s="291"/>
      <c r="L16" s="291"/>
      <c r="M16" s="291"/>
      <c r="N16" s="292"/>
    </row>
    <row r="17" spans="2:14" ht="12.75">
      <c r="B17" s="366" t="s">
        <v>68</v>
      </c>
      <c r="C17" s="337"/>
      <c r="D17" s="269"/>
      <c r="E17" s="266">
        <v>656</v>
      </c>
      <c r="F17" s="266">
        <f>635+92</f>
        <v>727</v>
      </c>
      <c r="G17" s="266">
        <v>605</v>
      </c>
      <c r="H17" s="266">
        <v>628</v>
      </c>
      <c r="I17" s="266">
        <v>620</v>
      </c>
      <c r="J17" s="266">
        <v>646</v>
      </c>
      <c r="K17" s="266">
        <f>689-167</f>
        <v>522</v>
      </c>
      <c r="L17" s="266">
        <v>490</v>
      </c>
      <c r="M17" s="266">
        <f>449+41</f>
        <v>490</v>
      </c>
      <c r="N17" s="267">
        <v>467</v>
      </c>
    </row>
    <row r="18" spans="2:14" ht="12.75">
      <c r="B18" s="340" t="s">
        <v>69</v>
      </c>
      <c r="C18" s="342"/>
      <c r="D18" s="49"/>
      <c r="E18" s="256">
        <v>894</v>
      </c>
      <c r="F18" s="256">
        <f>870-92</f>
        <v>778</v>
      </c>
      <c r="G18" s="256">
        <v>850</v>
      </c>
      <c r="H18" s="256">
        <v>800</v>
      </c>
      <c r="I18" s="256">
        <v>766</v>
      </c>
      <c r="J18" s="256">
        <v>695</v>
      </c>
      <c r="K18" s="256">
        <v>770</v>
      </c>
      <c r="L18" s="256">
        <v>750</v>
      </c>
      <c r="M18" s="256">
        <v>715</v>
      </c>
      <c r="N18" s="257">
        <v>750</v>
      </c>
    </row>
    <row r="19" spans="2:14" ht="12.75">
      <c r="B19" s="340" t="s">
        <v>72</v>
      </c>
      <c r="C19" s="342"/>
      <c r="D19" s="49"/>
      <c r="E19" s="268">
        <f>Depreciation!E53</f>
        <v>34182</v>
      </c>
      <c r="F19" s="268">
        <f>Depreciation!F53</f>
        <v>33111.25</v>
      </c>
      <c r="G19" s="268">
        <f>Depreciation!G53</f>
        <v>31744.39625</v>
      </c>
      <c r="H19" s="268">
        <f>Depreciation!H53</f>
        <v>36516.634812920776</v>
      </c>
      <c r="I19" s="268">
        <f>Depreciation!I53</f>
        <v>38183.56259182702</v>
      </c>
      <c r="J19" s="268">
        <f>Depreciation!J53</f>
        <v>43020.93481438562</v>
      </c>
      <c r="K19" s="268">
        <f>Depreciation!K53</f>
        <v>52685.34443995723</v>
      </c>
      <c r="L19" s="268">
        <f>Depreciation!L53</f>
        <v>56074.64439846059</v>
      </c>
      <c r="M19" s="266">
        <f>Depreciation!M53</f>
        <v>58123.32832639346</v>
      </c>
      <c r="N19" s="267">
        <f>Depreciation!N53</f>
        <v>66006.78707330048</v>
      </c>
    </row>
    <row r="20" spans="2:14" ht="12.75">
      <c r="B20" s="340" t="s">
        <v>73</v>
      </c>
      <c r="C20" s="342"/>
      <c r="D20" s="49"/>
      <c r="E20" s="256">
        <f>Depreciation!E63</f>
        <v>193674</v>
      </c>
      <c r="F20" s="256">
        <f>Depreciation!F63</f>
        <v>196921.041</v>
      </c>
      <c r="G20" s="256">
        <f>Depreciation!G63</f>
        <v>200570.609811</v>
      </c>
      <c r="H20" s="256">
        <f>Depreciation!H63</f>
        <v>220938.3161493102</v>
      </c>
      <c r="I20" s="256">
        <f>Depreciation!I63</f>
        <v>221220.6789809802</v>
      </c>
      <c r="J20" s="256">
        <f>Depreciation!J63</f>
        <v>221868.3577905318</v>
      </c>
      <c r="K20" s="256">
        <f>Depreciation!K63</f>
        <v>242335.7009872704</v>
      </c>
      <c r="L20" s="256">
        <f>Depreciation!L63</f>
        <v>243178.16865863954</v>
      </c>
      <c r="M20" s="256">
        <f>Depreciation!M63</f>
        <v>244429.824767539</v>
      </c>
      <c r="N20" s="257">
        <f>Depreciation!N63</f>
        <v>267477.65479232685</v>
      </c>
    </row>
    <row r="21" spans="2:14" ht="12.75">
      <c r="B21" s="338" t="s">
        <v>74</v>
      </c>
      <c r="C21" s="339"/>
      <c r="D21" s="22"/>
      <c r="E21" s="258">
        <f aca="true" t="shared" si="3" ref="E21:N21">SUM(E17:E20)</f>
        <v>229406</v>
      </c>
      <c r="F21" s="258">
        <f t="shared" si="3"/>
        <v>231537.291</v>
      </c>
      <c r="G21" s="258">
        <f t="shared" si="3"/>
        <v>233770.006061</v>
      </c>
      <c r="H21" s="258">
        <f t="shared" si="3"/>
        <v>258882.95096223097</v>
      </c>
      <c r="I21" s="258">
        <f t="shared" si="3"/>
        <v>260790.24157280725</v>
      </c>
      <c r="J21" s="258">
        <f t="shared" si="3"/>
        <v>266230.2926049174</v>
      </c>
      <c r="K21" s="258">
        <f t="shared" si="3"/>
        <v>296313.0454272276</v>
      </c>
      <c r="L21" s="258">
        <f t="shared" si="3"/>
        <v>300492.8130571001</v>
      </c>
      <c r="M21" s="258">
        <f t="shared" si="3"/>
        <v>303758.15309393243</v>
      </c>
      <c r="N21" s="259">
        <f t="shared" si="3"/>
        <v>334701.4418656273</v>
      </c>
    </row>
    <row r="22" spans="2:14" ht="12.75">
      <c r="B22" s="21"/>
      <c r="C22" s="22"/>
      <c r="D22" s="22"/>
      <c r="E22" s="260"/>
      <c r="F22" s="260"/>
      <c r="G22" s="260"/>
      <c r="H22" s="260"/>
      <c r="I22" s="260"/>
      <c r="J22" s="260"/>
      <c r="K22" s="260"/>
      <c r="L22" s="260"/>
      <c r="M22" s="260"/>
      <c r="N22" s="261"/>
    </row>
    <row r="23" spans="2:14" ht="12.75">
      <c r="B23" s="338" t="s">
        <v>75</v>
      </c>
      <c r="C23" s="339"/>
      <c r="D23" s="22"/>
      <c r="E23" s="262">
        <f aca="true" t="shared" si="4" ref="E23:N23">E13+E21</f>
        <v>238243</v>
      </c>
      <c r="F23" s="262">
        <f t="shared" si="4"/>
        <v>244410.87099999998</v>
      </c>
      <c r="G23" s="262">
        <f t="shared" si="4"/>
        <v>251905.42856099998</v>
      </c>
      <c r="H23" s="262">
        <f t="shared" si="4"/>
        <v>277937.28522423096</v>
      </c>
      <c r="I23" s="262">
        <f t="shared" si="4"/>
        <v>282222.7283819291</v>
      </c>
      <c r="J23" s="262">
        <f t="shared" si="4"/>
        <v>287047.4399631563</v>
      </c>
      <c r="K23" s="262">
        <f t="shared" si="4"/>
        <v>316030.7553910816</v>
      </c>
      <c r="L23" s="262">
        <f t="shared" si="4"/>
        <v>320180.57900094823</v>
      </c>
      <c r="M23" s="262">
        <f t="shared" si="4"/>
        <v>324647.46772644494</v>
      </c>
      <c r="N23" s="263">
        <f t="shared" si="4"/>
        <v>356314.64728079963</v>
      </c>
    </row>
    <row r="24" spans="2:14" ht="12.75">
      <c r="B24" s="21"/>
      <c r="C24" s="22"/>
      <c r="D24" s="22"/>
      <c r="E24" s="260"/>
      <c r="F24" s="260"/>
      <c r="G24" s="260"/>
      <c r="H24" s="260"/>
      <c r="I24" s="260"/>
      <c r="J24" s="260"/>
      <c r="K24" s="260"/>
      <c r="L24" s="260"/>
      <c r="M24" s="260"/>
      <c r="N24" s="261"/>
    </row>
    <row r="25" spans="2:14" s="43" customFormat="1" ht="12.75">
      <c r="B25" s="357" t="s">
        <v>77</v>
      </c>
      <c r="C25" s="365"/>
      <c r="D25" s="284"/>
      <c r="E25" s="291"/>
      <c r="F25" s="291"/>
      <c r="G25" s="291"/>
      <c r="H25" s="291"/>
      <c r="I25" s="291"/>
      <c r="J25" s="291"/>
      <c r="K25" s="291"/>
      <c r="L25" s="291"/>
      <c r="M25" s="291"/>
      <c r="N25" s="292"/>
    </row>
    <row r="26" spans="2:14" s="43" customFormat="1" ht="12.75">
      <c r="B26" s="359" t="s">
        <v>76</v>
      </c>
      <c r="C26" s="360"/>
      <c r="D26" s="284"/>
      <c r="E26" s="291"/>
      <c r="F26" s="291"/>
      <c r="G26" s="291"/>
      <c r="H26" s="291"/>
      <c r="I26" s="291"/>
      <c r="J26" s="291"/>
      <c r="K26" s="291"/>
      <c r="L26" s="291"/>
      <c r="M26" s="291"/>
      <c r="N26" s="292"/>
    </row>
    <row r="27" spans="2:14" ht="12.75">
      <c r="B27" s="340" t="s">
        <v>79</v>
      </c>
      <c r="C27" s="341"/>
      <c r="D27" s="47"/>
      <c r="E27" s="266">
        <v>3195</v>
      </c>
      <c r="F27" s="266">
        <f>3057-500+250</f>
        <v>2807</v>
      </c>
      <c r="G27" s="266">
        <v>3195</v>
      </c>
      <c r="H27" s="266">
        <v>3195</v>
      </c>
      <c r="I27" s="266">
        <f>3196</f>
        <v>3196</v>
      </c>
      <c r="J27" s="266">
        <f>3195-118</f>
        <v>3077</v>
      </c>
      <c r="K27" s="266">
        <v>3195</v>
      </c>
      <c r="L27" s="266">
        <v>3195</v>
      </c>
      <c r="M27" s="266">
        <v>3195</v>
      </c>
      <c r="N27" s="267">
        <v>3195</v>
      </c>
    </row>
    <row r="28" spans="2:14" ht="12.75">
      <c r="B28" s="336" t="s">
        <v>80</v>
      </c>
      <c r="C28" s="337"/>
      <c r="D28" s="47"/>
      <c r="E28" s="256">
        <v>83</v>
      </c>
      <c r="F28" s="256">
        <v>91</v>
      </c>
      <c r="G28" s="256">
        <v>98</v>
      </c>
      <c r="H28" s="256">
        <v>93</v>
      </c>
      <c r="I28" s="256">
        <v>99</v>
      </c>
      <c r="J28" s="256">
        <v>106</v>
      </c>
      <c r="K28" s="256">
        <v>114</v>
      </c>
      <c r="L28" s="256">
        <v>122</v>
      </c>
      <c r="M28" s="256">
        <v>121</v>
      </c>
      <c r="N28" s="257">
        <v>98</v>
      </c>
    </row>
    <row r="29" spans="2:14" ht="12.75">
      <c r="B29" s="340" t="s">
        <v>81</v>
      </c>
      <c r="C29" s="342"/>
      <c r="D29" s="49"/>
      <c r="E29" s="256">
        <v>963</v>
      </c>
      <c r="F29" s="256">
        <f>E29*1.05</f>
        <v>1011.1500000000001</v>
      </c>
      <c r="G29" s="256">
        <f aca="true" t="shared" si="5" ref="G29:N29">F29*1.05</f>
        <v>1061.7075000000002</v>
      </c>
      <c r="H29" s="256">
        <f t="shared" si="5"/>
        <v>1114.7928750000003</v>
      </c>
      <c r="I29" s="256">
        <f t="shared" si="5"/>
        <v>1170.5325187500005</v>
      </c>
      <c r="J29" s="256">
        <f t="shared" si="5"/>
        <v>1229.0591446875005</v>
      </c>
      <c r="K29" s="256">
        <f t="shared" si="5"/>
        <v>1290.5121019218757</v>
      </c>
      <c r="L29" s="256">
        <f t="shared" si="5"/>
        <v>1355.0377070179695</v>
      </c>
      <c r="M29" s="256">
        <f t="shared" si="5"/>
        <v>1422.7895923688682</v>
      </c>
      <c r="N29" s="257">
        <f t="shared" si="5"/>
        <v>1493.9290719873115</v>
      </c>
    </row>
    <row r="30" spans="2:14" ht="12.75">
      <c r="B30" s="338" t="s">
        <v>82</v>
      </c>
      <c r="C30" s="339"/>
      <c r="D30" s="22"/>
      <c r="E30" s="258">
        <f aca="true" t="shared" si="6" ref="E30:N30">SUM(E27:E29)</f>
        <v>4241</v>
      </c>
      <c r="F30" s="258">
        <f t="shared" si="6"/>
        <v>3909.15</v>
      </c>
      <c r="G30" s="258">
        <f t="shared" si="6"/>
        <v>4354.7075</v>
      </c>
      <c r="H30" s="258">
        <f t="shared" si="6"/>
        <v>4402.792875</v>
      </c>
      <c r="I30" s="258">
        <f t="shared" si="6"/>
        <v>4465.53251875</v>
      </c>
      <c r="J30" s="258">
        <f t="shared" si="6"/>
        <v>4412.0591446875005</v>
      </c>
      <c r="K30" s="258">
        <f t="shared" si="6"/>
        <v>4599.512101921876</v>
      </c>
      <c r="L30" s="258">
        <f t="shared" si="6"/>
        <v>4672.037707017969</v>
      </c>
      <c r="M30" s="258">
        <f t="shared" si="6"/>
        <v>4738.789592368868</v>
      </c>
      <c r="N30" s="259">
        <f t="shared" si="6"/>
        <v>4786.9290719873115</v>
      </c>
    </row>
    <row r="31" spans="2:14" ht="12.75">
      <c r="B31" s="21"/>
      <c r="C31" s="22"/>
      <c r="D31" s="22"/>
      <c r="E31" s="260"/>
      <c r="F31" s="260"/>
      <c r="G31" s="260"/>
      <c r="H31" s="260"/>
      <c r="I31" s="260"/>
      <c r="J31" s="260"/>
      <c r="K31" s="260"/>
      <c r="L31" s="260"/>
      <c r="M31" s="260"/>
      <c r="N31" s="261"/>
    </row>
    <row r="32" spans="2:14" s="43" customFormat="1" ht="12.75">
      <c r="B32" s="357"/>
      <c r="C32" s="365"/>
      <c r="D32" s="284"/>
      <c r="E32" s="291"/>
      <c r="F32" s="291"/>
      <c r="G32" s="291"/>
      <c r="H32" s="291"/>
      <c r="I32" s="291"/>
      <c r="J32" s="291"/>
      <c r="K32" s="291"/>
      <c r="L32" s="291"/>
      <c r="M32" s="291"/>
      <c r="N32" s="292"/>
    </row>
    <row r="33" spans="2:14" s="43" customFormat="1" ht="12.75">
      <c r="B33" s="359" t="s">
        <v>78</v>
      </c>
      <c r="C33" s="360"/>
      <c r="D33" s="284"/>
      <c r="E33" s="291"/>
      <c r="F33" s="291"/>
      <c r="G33" s="291"/>
      <c r="H33" s="291"/>
      <c r="I33" s="291"/>
      <c r="J33" s="291"/>
      <c r="K33" s="291"/>
      <c r="L33" s="291"/>
      <c r="M33" s="291"/>
      <c r="N33" s="292"/>
    </row>
    <row r="34" spans="2:14" ht="12.75">
      <c r="B34" s="366" t="s">
        <v>88</v>
      </c>
      <c r="C34" s="337"/>
      <c r="D34" s="47"/>
      <c r="E34" s="266">
        <v>2595</v>
      </c>
      <c r="F34" s="266">
        <f>Loans!E83-SFPBS!F28</f>
        <v>2460</v>
      </c>
      <c r="G34" s="266">
        <f>Loans!F83-SFPBS!G28</f>
        <v>2315</v>
      </c>
      <c r="H34" s="266">
        <f>Loans!G83-SFPBS!H28</f>
        <v>2185</v>
      </c>
      <c r="I34" s="266">
        <f>Loans!H83-SFPBS!I28</f>
        <v>2035</v>
      </c>
      <c r="J34" s="266">
        <f>Loans!I83-SFPBS!J28</f>
        <v>2366</v>
      </c>
      <c r="K34" s="266">
        <f>Loans!J83-SFPBS!K28</f>
        <v>3163</v>
      </c>
      <c r="L34" s="266">
        <f>Loans!K83-SFPBS!L28</f>
        <v>2934</v>
      </c>
      <c r="M34" s="266">
        <f>Loans!L83-SFPBS!M28</f>
        <v>2767</v>
      </c>
      <c r="N34" s="267">
        <f>Loans!M83-SFPBS!N28</f>
        <v>2643</v>
      </c>
    </row>
    <row r="35" spans="2:14" ht="12.75">
      <c r="B35" s="340" t="s">
        <v>81</v>
      </c>
      <c r="C35" s="342"/>
      <c r="D35" s="270"/>
      <c r="E35" s="256">
        <v>625</v>
      </c>
      <c r="F35" s="256">
        <f>E35*1.05</f>
        <v>656.25</v>
      </c>
      <c r="G35" s="256">
        <f aca="true" t="shared" si="7" ref="G35:N35">F35*1.05</f>
        <v>689.0625</v>
      </c>
      <c r="H35" s="256">
        <f t="shared" si="7"/>
        <v>723.515625</v>
      </c>
      <c r="I35" s="256">
        <f t="shared" si="7"/>
        <v>759.69140625</v>
      </c>
      <c r="J35" s="256">
        <f t="shared" si="7"/>
        <v>797.6759765625001</v>
      </c>
      <c r="K35" s="256">
        <f t="shared" si="7"/>
        <v>837.5597753906251</v>
      </c>
      <c r="L35" s="256">
        <f t="shared" si="7"/>
        <v>879.4377641601563</v>
      </c>
      <c r="M35" s="264">
        <f t="shared" si="7"/>
        <v>923.4096523681642</v>
      </c>
      <c r="N35" s="265">
        <f t="shared" si="7"/>
        <v>969.5801349865725</v>
      </c>
    </row>
    <row r="36" spans="2:14" ht="12.75">
      <c r="B36" s="338" t="s">
        <v>83</v>
      </c>
      <c r="C36" s="339"/>
      <c r="D36" s="22"/>
      <c r="E36" s="258">
        <f aca="true" t="shared" si="8" ref="E36:N36">SUM(E34:E35)</f>
        <v>3220</v>
      </c>
      <c r="F36" s="258">
        <f t="shared" si="8"/>
        <v>3116.25</v>
      </c>
      <c r="G36" s="258">
        <f t="shared" si="8"/>
        <v>3004.0625</v>
      </c>
      <c r="H36" s="258">
        <f t="shared" si="8"/>
        <v>2908.515625</v>
      </c>
      <c r="I36" s="258">
        <f t="shared" si="8"/>
        <v>2794.69140625</v>
      </c>
      <c r="J36" s="258">
        <f t="shared" si="8"/>
        <v>3163.6759765625</v>
      </c>
      <c r="K36" s="258">
        <f t="shared" si="8"/>
        <v>4000.559775390625</v>
      </c>
      <c r="L36" s="258">
        <f t="shared" si="8"/>
        <v>3813.4377641601563</v>
      </c>
      <c r="M36" s="258">
        <f t="shared" si="8"/>
        <v>3690.409652368164</v>
      </c>
      <c r="N36" s="259">
        <f t="shared" si="8"/>
        <v>3612.5801349865724</v>
      </c>
    </row>
    <row r="37" spans="2:14" ht="12.75">
      <c r="B37" s="21"/>
      <c r="C37" s="22"/>
      <c r="D37" s="22"/>
      <c r="E37" s="260"/>
      <c r="F37" s="260"/>
      <c r="G37" s="260"/>
      <c r="H37" s="260"/>
      <c r="I37" s="260"/>
      <c r="J37" s="260"/>
      <c r="K37" s="260"/>
      <c r="L37" s="260"/>
      <c r="M37" s="260"/>
      <c r="N37" s="261"/>
    </row>
    <row r="38" spans="2:14" ht="12.75">
      <c r="B38" s="338" t="s">
        <v>84</v>
      </c>
      <c r="C38" s="339"/>
      <c r="D38" s="22"/>
      <c r="E38" s="262">
        <f aca="true" t="shared" si="9" ref="E38:N38">E30+E36</f>
        <v>7461</v>
      </c>
      <c r="F38" s="262">
        <f t="shared" si="9"/>
        <v>7025.4</v>
      </c>
      <c r="G38" s="262">
        <f t="shared" si="9"/>
        <v>7358.77</v>
      </c>
      <c r="H38" s="262">
        <f t="shared" si="9"/>
        <v>7311.3085</v>
      </c>
      <c r="I38" s="262">
        <f t="shared" si="9"/>
        <v>7260.223925</v>
      </c>
      <c r="J38" s="262">
        <f t="shared" si="9"/>
        <v>7575.735121250001</v>
      </c>
      <c r="K38" s="262">
        <f t="shared" si="9"/>
        <v>8600.0718773125</v>
      </c>
      <c r="L38" s="262">
        <f t="shared" si="9"/>
        <v>8485.475471178126</v>
      </c>
      <c r="M38" s="262">
        <f t="shared" si="9"/>
        <v>8429.199244737032</v>
      </c>
      <c r="N38" s="263">
        <f t="shared" si="9"/>
        <v>8399.509206973884</v>
      </c>
    </row>
    <row r="39" spans="2:14" ht="12.75">
      <c r="B39" s="21"/>
      <c r="C39" s="22"/>
      <c r="D39" s="22"/>
      <c r="E39" s="260"/>
      <c r="F39" s="260"/>
      <c r="G39" s="260"/>
      <c r="H39" s="260"/>
      <c r="I39" s="260"/>
      <c r="J39" s="260"/>
      <c r="K39" s="260"/>
      <c r="L39" s="260"/>
      <c r="M39" s="260"/>
      <c r="N39" s="261"/>
    </row>
    <row r="40" spans="2:14" ht="13.5" thickBot="1">
      <c r="B40" s="338" t="s">
        <v>85</v>
      </c>
      <c r="C40" s="355"/>
      <c r="D40" s="37"/>
      <c r="E40" s="185">
        <f aca="true" t="shared" si="10" ref="E40:N40">E23-E38</f>
        <v>230782</v>
      </c>
      <c r="F40" s="185">
        <f t="shared" si="10"/>
        <v>237385.471</v>
      </c>
      <c r="G40" s="185">
        <f t="shared" si="10"/>
        <v>244546.658561</v>
      </c>
      <c r="H40" s="185">
        <f t="shared" si="10"/>
        <v>270625.976724231</v>
      </c>
      <c r="I40" s="185">
        <f t="shared" si="10"/>
        <v>274962.5044569291</v>
      </c>
      <c r="J40" s="185">
        <f t="shared" si="10"/>
        <v>279471.7048419063</v>
      </c>
      <c r="K40" s="185">
        <f t="shared" si="10"/>
        <v>307430.6835137691</v>
      </c>
      <c r="L40" s="185">
        <f t="shared" si="10"/>
        <v>311695.1035297701</v>
      </c>
      <c r="M40" s="185">
        <f t="shared" si="10"/>
        <v>316218.2684817079</v>
      </c>
      <c r="N40" s="186">
        <f t="shared" si="10"/>
        <v>347915.13807382574</v>
      </c>
    </row>
    <row r="41" spans="2:14" ht="14.25" thickBot="1" thickTop="1">
      <c r="B41" s="166"/>
      <c r="C41" s="167"/>
      <c r="D41" s="167"/>
      <c r="E41" s="152"/>
      <c r="F41" s="152"/>
      <c r="G41" s="213"/>
      <c r="H41" s="213"/>
      <c r="I41" s="213"/>
      <c r="J41" s="213"/>
      <c r="K41" s="213"/>
      <c r="L41" s="213"/>
      <c r="M41" s="213"/>
      <c r="N41" s="223"/>
    </row>
    <row r="42" spans="2:14" ht="12.75">
      <c r="B42" s="22"/>
      <c r="C42" s="37"/>
      <c r="D42" s="37"/>
      <c r="E42" s="19"/>
      <c r="F42" s="19"/>
      <c r="G42" s="89"/>
      <c r="H42" s="89"/>
      <c r="I42" s="89"/>
      <c r="J42" s="89"/>
      <c r="K42" s="89"/>
      <c r="L42" s="89"/>
      <c r="M42" s="89"/>
      <c r="N42" s="89"/>
    </row>
    <row r="43" ht="13.5" thickBot="1"/>
    <row r="44" spans="2:14" ht="12.75">
      <c r="B44" s="237"/>
      <c r="C44" s="238"/>
      <c r="D44" s="239" t="s">
        <v>341</v>
      </c>
      <c r="E44" s="9" t="s">
        <v>0</v>
      </c>
      <c r="F44" s="9" t="s">
        <v>1</v>
      </c>
      <c r="G44" s="197" t="s">
        <v>2</v>
      </c>
      <c r="H44" s="197" t="s">
        <v>3</v>
      </c>
      <c r="I44" s="197" t="s">
        <v>4</v>
      </c>
      <c r="J44" s="197" t="s">
        <v>5</v>
      </c>
      <c r="K44" s="197" t="s">
        <v>6</v>
      </c>
      <c r="L44" s="197" t="s">
        <v>7</v>
      </c>
      <c r="M44" s="197" t="s">
        <v>8</v>
      </c>
      <c r="N44" s="221" t="s">
        <v>9</v>
      </c>
    </row>
    <row r="45" spans="2:14" ht="13.5" thickBot="1">
      <c r="B45" s="13"/>
      <c r="C45" s="14"/>
      <c r="D45" s="15" t="s">
        <v>10</v>
      </c>
      <c r="E45" s="15" t="s">
        <v>10</v>
      </c>
      <c r="F45" s="15" t="s">
        <v>10</v>
      </c>
      <c r="G45" s="198" t="s">
        <v>10</v>
      </c>
      <c r="H45" s="198" t="s">
        <v>10</v>
      </c>
      <c r="I45" s="198" t="s">
        <v>10</v>
      </c>
      <c r="J45" s="198" t="s">
        <v>10</v>
      </c>
      <c r="K45" s="198" t="s">
        <v>10</v>
      </c>
      <c r="L45" s="198" t="s">
        <v>10</v>
      </c>
      <c r="M45" s="198" t="s">
        <v>10</v>
      </c>
      <c r="N45" s="232" t="s">
        <v>10</v>
      </c>
    </row>
    <row r="46" spans="2:14" ht="12.75">
      <c r="B46" s="293" t="s">
        <v>340</v>
      </c>
      <c r="C46" s="294"/>
      <c r="D46" s="294"/>
      <c r="E46" s="294"/>
      <c r="F46" s="295"/>
      <c r="G46" s="295"/>
      <c r="H46" s="295"/>
      <c r="I46" s="295"/>
      <c r="J46" s="294"/>
      <c r="K46" s="294"/>
      <c r="L46" s="294"/>
      <c r="M46" s="294"/>
      <c r="N46" s="296"/>
    </row>
    <row r="47" spans="2:14" ht="12.75">
      <c r="B47" s="359" t="s">
        <v>66</v>
      </c>
      <c r="C47" s="360"/>
      <c r="D47" s="294"/>
      <c r="E47" s="294"/>
      <c r="F47" s="297"/>
      <c r="G47" s="294"/>
      <c r="H47" s="294"/>
      <c r="I47" s="294"/>
      <c r="J47" s="294"/>
      <c r="K47" s="294"/>
      <c r="L47" s="294"/>
      <c r="M47" s="294"/>
      <c r="N47" s="296"/>
    </row>
    <row r="48" spans="2:14" ht="12.75">
      <c r="B48" s="340" t="s">
        <v>71</v>
      </c>
      <c r="C48" s="341"/>
      <c r="D48" s="241">
        <v>7282</v>
      </c>
      <c r="E48" s="241">
        <f>E9</f>
        <v>7385</v>
      </c>
      <c r="F48" s="241">
        <f aca="true" t="shared" si="11" ref="F48:N48">F9</f>
        <v>9884.130000000001</v>
      </c>
      <c r="G48" s="241">
        <f t="shared" si="11"/>
        <v>16309</v>
      </c>
      <c r="H48" s="241">
        <f t="shared" si="11"/>
        <v>17412.276761999998</v>
      </c>
      <c r="I48" s="241">
        <f t="shared" si="11"/>
        <v>19708.326434121875</v>
      </c>
      <c r="J48" s="241">
        <f t="shared" si="11"/>
        <v>19006.778964488876</v>
      </c>
      <c r="K48" s="241">
        <f t="shared" si="11"/>
        <v>17816.823150416512</v>
      </c>
      <c r="L48" s="241">
        <f t="shared" si="11"/>
        <v>17691.83478973873</v>
      </c>
      <c r="M48" s="241">
        <f t="shared" si="11"/>
        <v>18793.58692069767</v>
      </c>
      <c r="N48" s="242">
        <f t="shared" si="11"/>
        <v>19412.69131776675</v>
      </c>
    </row>
    <row r="49" spans="2:14" ht="12.75">
      <c r="B49" s="336" t="s">
        <v>68</v>
      </c>
      <c r="C49" s="337"/>
      <c r="D49" s="241">
        <v>2116</v>
      </c>
      <c r="E49" s="241">
        <f aca="true" t="shared" si="12" ref="E49:N51">E10</f>
        <v>749</v>
      </c>
      <c r="F49" s="241">
        <f t="shared" si="12"/>
        <v>1036.45</v>
      </c>
      <c r="G49" s="241">
        <f t="shared" si="12"/>
        <v>1088.2725</v>
      </c>
      <c r="H49" s="241">
        <f t="shared" si="12"/>
        <v>867</v>
      </c>
      <c r="I49" s="241">
        <f t="shared" si="12"/>
        <v>910.35</v>
      </c>
      <c r="J49" s="241">
        <f t="shared" si="12"/>
        <v>955.8675000000001</v>
      </c>
      <c r="K49" s="241">
        <f t="shared" si="12"/>
        <v>1003.6608750000001</v>
      </c>
      <c r="L49" s="241">
        <f t="shared" si="12"/>
        <v>1053.8439187500003</v>
      </c>
      <c r="M49" s="241">
        <f t="shared" si="12"/>
        <v>1106.5361146875005</v>
      </c>
      <c r="N49" s="242">
        <f t="shared" si="12"/>
        <v>1161.8629204218755</v>
      </c>
    </row>
    <row r="50" spans="2:14" ht="12.75">
      <c r="B50" s="340" t="s">
        <v>69</v>
      </c>
      <c r="C50" s="342"/>
      <c r="D50" s="241">
        <v>1556</v>
      </c>
      <c r="E50" s="241">
        <f t="shared" si="12"/>
        <v>703</v>
      </c>
      <c r="F50" s="241">
        <f t="shared" si="12"/>
        <v>703</v>
      </c>
      <c r="G50" s="241">
        <f t="shared" si="12"/>
        <v>738.15</v>
      </c>
      <c r="H50" s="241">
        <f t="shared" si="12"/>
        <v>775.0575</v>
      </c>
      <c r="I50" s="241">
        <f t="shared" si="12"/>
        <v>813.810375</v>
      </c>
      <c r="J50" s="241">
        <f t="shared" si="12"/>
        <v>854.50089375</v>
      </c>
      <c r="K50" s="241">
        <f t="shared" si="12"/>
        <v>897.2259384375001</v>
      </c>
      <c r="L50" s="241">
        <f t="shared" si="12"/>
        <v>942.0872353593751</v>
      </c>
      <c r="M50" s="241">
        <f t="shared" si="12"/>
        <v>989.1915971273439</v>
      </c>
      <c r="N50" s="242">
        <f t="shared" si="12"/>
        <v>1038.6511769837111</v>
      </c>
    </row>
    <row r="51" spans="2:14" ht="12.75">
      <c r="B51" s="48" t="s">
        <v>337</v>
      </c>
      <c r="C51" s="49"/>
      <c r="D51" s="241">
        <v>0</v>
      </c>
      <c r="E51" s="241">
        <f t="shared" si="12"/>
        <v>0</v>
      </c>
      <c r="F51" s="241">
        <f t="shared" si="12"/>
        <v>1250</v>
      </c>
      <c r="G51" s="241">
        <f t="shared" si="12"/>
        <v>0</v>
      </c>
      <c r="H51" s="241">
        <f t="shared" si="12"/>
        <v>0</v>
      </c>
      <c r="I51" s="241">
        <f t="shared" si="12"/>
        <v>0</v>
      </c>
      <c r="J51" s="241">
        <f t="shared" si="12"/>
        <v>0</v>
      </c>
      <c r="K51" s="241">
        <f t="shared" si="12"/>
        <v>0</v>
      </c>
      <c r="L51" s="241">
        <f t="shared" si="12"/>
        <v>0</v>
      </c>
      <c r="M51" s="241">
        <f t="shared" si="12"/>
        <v>0</v>
      </c>
      <c r="N51" s="243">
        <f t="shared" si="12"/>
        <v>0</v>
      </c>
    </row>
    <row r="52" spans="2:14" ht="12.75">
      <c r="B52" s="338" t="s">
        <v>70</v>
      </c>
      <c r="C52" s="339"/>
      <c r="D52" s="250">
        <f aca="true" t="shared" si="13" ref="D52:N52">SUM(D47:D51)</f>
        <v>10954</v>
      </c>
      <c r="E52" s="250">
        <f t="shared" si="13"/>
        <v>8837</v>
      </c>
      <c r="F52" s="250">
        <f t="shared" si="13"/>
        <v>12873.580000000002</v>
      </c>
      <c r="G52" s="250">
        <f t="shared" si="13"/>
        <v>18135.4225</v>
      </c>
      <c r="H52" s="250">
        <f t="shared" si="13"/>
        <v>19054.334261999997</v>
      </c>
      <c r="I52" s="250">
        <f t="shared" si="13"/>
        <v>21432.486809121874</v>
      </c>
      <c r="J52" s="250">
        <f t="shared" si="13"/>
        <v>20817.147358238875</v>
      </c>
      <c r="K52" s="250">
        <f t="shared" si="13"/>
        <v>19717.709963854013</v>
      </c>
      <c r="L52" s="250">
        <f t="shared" si="13"/>
        <v>19687.765943848106</v>
      </c>
      <c r="M52" s="250">
        <f t="shared" si="13"/>
        <v>20889.314632512516</v>
      </c>
      <c r="N52" s="251">
        <f t="shared" si="13"/>
        <v>21613.205415172335</v>
      </c>
    </row>
    <row r="53" spans="2:14" ht="12.75">
      <c r="B53" s="240"/>
      <c r="C53" s="7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2"/>
    </row>
    <row r="54" spans="2:14" ht="12.75">
      <c r="B54" s="357" t="s">
        <v>77</v>
      </c>
      <c r="C54" s="365"/>
      <c r="D54" s="297"/>
      <c r="E54" s="297"/>
      <c r="F54" s="297"/>
      <c r="G54" s="297"/>
      <c r="H54" s="297"/>
      <c r="I54" s="297"/>
      <c r="J54" s="297"/>
      <c r="K54" s="297"/>
      <c r="L54" s="297"/>
      <c r="M54" s="297"/>
      <c r="N54" s="298"/>
    </row>
    <row r="55" spans="2:14" ht="12.75">
      <c r="B55" s="359" t="s">
        <v>76</v>
      </c>
      <c r="C55" s="360"/>
      <c r="D55" s="297"/>
      <c r="E55" s="297"/>
      <c r="F55" s="297"/>
      <c r="G55" s="297"/>
      <c r="H55" s="297"/>
      <c r="I55" s="297"/>
      <c r="J55" s="297"/>
      <c r="K55" s="297"/>
      <c r="L55" s="297"/>
      <c r="M55" s="297"/>
      <c r="N55" s="298"/>
    </row>
    <row r="56" spans="2:14" ht="12.75">
      <c r="B56" s="340" t="s">
        <v>79</v>
      </c>
      <c r="C56" s="341"/>
      <c r="D56" s="241">
        <v>2761</v>
      </c>
      <c r="E56" s="241">
        <f>E27</f>
        <v>3195</v>
      </c>
      <c r="F56" s="241">
        <f aca="true" t="shared" si="14" ref="F56:N56">F27</f>
        <v>2807</v>
      </c>
      <c r="G56" s="241">
        <f t="shared" si="14"/>
        <v>3195</v>
      </c>
      <c r="H56" s="272">
        <f t="shared" si="14"/>
        <v>3195</v>
      </c>
      <c r="I56" s="272">
        <f t="shared" si="14"/>
        <v>3196</v>
      </c>
      <c r="J56" s="272">
        <f t="shared" si="14"/>
        <v>3077</v>
      </c>
      <c r="K56" s="241">
        <f t="shared" si="14"/>
        <v>3195</v>
      </c>
      <c r="L56" s="241">
        <f t="shared" si="14"/>
        <v>3195</v>
      </c>
      <c r="M56" s="241">
        <f t="shared" si="14"/>
        <v>3195</v>
      </c>
      <c r="N56" s="242">
        <f t="shared" si="14"/>
        <v>3195</v>
      </c>
    </row>
    <row r="57" spans="2:14" ht="12.75">
      <c r="B57" s="336" t="s">
        <v>80</v>
      </c>
      <c r="C57" s="337"/>
      <c r="D57" s="241">
        <v>75</v>
      </c>
      <c r="E57" s="241">
        <f aca="true" t="shared" si="15" ref="E57:N58">E28</f>
        <v>83</v>
      </c>
      <c r="F57" s="241">
        <f t="shared" si="15"/>
        <v>91</v>
      </c>
      <c r="G57" s="241">
        <f t="shared" si="15"/>
        <v>98</v>
      </c>
      <c r="H57" s="272">
        <f t="shared" si="15"/>
        <v>93</v>
      </c>
      <c r="I57" s="272">
        <f t="shared" si="15"/>
        <v>99</v>
      </c>
      <c r="J57" s="272">
        <f t="shared" si="15"/>
        <v>106</v>
      </c>
      <c r="K57" s="241">
        <f t="shared" si="15"/>
        <v>114</v>
      </c>
      <c r="L57" s="241">
        <f t="shared" si="15"/>
        <v>122</v>
      </c>
      <c r="M57" s="241">
        <f t="shared" si="15"/>
        <v>121</v>
      </c>
      <c r="N57" s="242">
        <f t="shared" si="15"/>
        <v>98</v>
      </c>
    </row>
    <row r="58" spans="2:14" ht="12.75">
      <c r="B58" s="340" t="s">
        <v>81</v>
      </c>
      <c r="C58" s="342"/>
      <c r="D58" s="241">
        <v>940</v>
      </c>
      <c r="E58" s="241">
        <f t="shared" si="15"/>
        <v>963</v>
      </c>
      <c r="F58" s="241">
        <f t="shared" si="15"/>
        <v>1011.1500000000001</v>
      </c>
      <c r="G58" s="241">
        <f t="shared" si="15"/>
        <v>1061.7075000000002</v>
      </c>
      <c r="H58" s="272">
        <f t="shared" si="15"/>
        <v>1114.7928750000003</v>
      </c>
      <c r="I58" s="272">
        <f t="shared" si="15"/>
        <v>1170.5325187500005</v>
      </c>
      <c r="J58" s="272">
        <f t="shared" si="15"/>
        <v>1229.0591446875005</v>
      </c>
      <c r="K58" s="241">
        <f t="shared" si="15"/>
        <v>1290.5121019218757</v>
      </c>
      <c r="L58" s="241">
        <f t="shared" si="15"/>
        <v>1355.0377070179695</v>
      </c>
      <c r="M58" s="241">
        <f t="shared" si="15"/>
        <v>1422.7895923688682</v>
      </c>
      <c r="N58" s="243">
        <f t="shared" si="15"/>
        <v>1493.9290719873115</v>
      </c>
    </row>
    <row r="59" spans="2:14" ht="12.75">
      <c r="B59" s="338" t="s">
        <v>82</v>
      </c>
      <c r="C59" s="339"/>
      <c r="D59" s="252">
        <f aca="true" t="shared" si="16" ref="D59:N59">SUM(D55:D58)</f>
        <v>3776</v>
      </c>
      <c r="E59" s="252">
        <f t="shared" si="16"/>
        <v>4241</v>
      </c>
      <c r="F59" s="252">
        <f t="shared" si="16"/>
        <v>3909.15</v>
      </c>
      <c r="G59" s="252">
        <f t="shared" si="16"/>
        <v>4354.7075</v>
      </c>
      <c r="H59" s="252">
        <f t="shared" si="16"/>
        <v>4402.792875</v>
      </c>
      <c r="I59" s="252">
        <f t="shared" si="16"/>
        <v>4465.53251875</v>
      </c>
      <c r="J59" s="252">
        <f t="shared" si="16"/>
        <v>4412.0591446875005</v>
      </c>
      <c r="K59" s="252">
        <f t="shared" si="16"/>
        <v>4599.512101921876</v>
      </c>
      <c r="L59" s="252">
        <f t="shared" si="16"/>
        <v>4672.037707017969</v>
      </c>
      <c r="M59" s="252">
        <f t="shared" si="16"/>
        <v>4738.789592368868</v>
      </c>
      <c r="N59" s="253">
        <f t="shared" si="16"/>
        <v>4786.9290719873115</v>
      </c>
    </row>
    <row r="60" spans="2:14" ht="12.75">
      <c r="B60" s="240"/>
      <c r="C60" s="71"/>
      <c r="D60" s="241"/>
      <c r="E60" s="241"/>
      <c r="F60" s="241"/>
      <c r="G60" s="241"/>
      <c r="H60" s="272"/>
      <c r="I60" s="272"/>
      <c r="J60" s="272"/>
      <c r="K60" s="241"/>
      <c r="L60" s="241"/>
      <c r="M60" s="241"/>
      <c r="N60" s="242"/>
    </row>
    <row r="61" spans="2:14" ht="12.75">
      <c r="B61" s="338" t="s">
        <v>340</v>
      </c>
      <c r="C61" s="355"/>
      <c r="D61" s="254">
        <f aca="true" t="shared" si="17" ref="D61:N61">D52-D59</f>
        <v>7178</v>
      </c>
      <c r="E61" s="254">
        <f t="shared" si="17"/>
        <v>4596</v>
      </c>
      <c r="F61" s="254">
        <f t="shared" si="17"/>
        <v>8964.430000000002</v>
      </c>
      <c r="G61" s="254">
        <f t="shared" si="17"/>
        <v>13780.715</v>
      </c>
      <c r="H61" s="273">
        <f t="shared" si="17"/>
        <v>14651.541386999997</v>
      </c>
      <c r="I61" s="273">
        <f t="shared" si="17"/>
        <v>16966.954290371876</v>
      </c>
      <c r="J61" s="273">
        <f t="shared" si="17"/>
        <v>16405.088213551375</v>
      </c>
      <c r="K61" s="254">
        <f t="shared" si="17"/>
        <v>15118.197861932138</v>
      </c>
      <c r="L61" s="254">
        <f t="shared" si="17"/>
        <v>15015.728236830137</v>
      </c>
      <c r="M61" s="254">
        <f t="shared" si="17"/>
        <v>16150.525040143648</v>
      </c>
      <c r="N61" s="255">
        <f t="shared" si="17"/>
        <v>16826.276343185025</v>
      </c>
    </row>
    <row r="62" spans="2:14" ht="12.75">
      <c r="B62" s="240"/>
      <c r="C62" s="71"/>
      <c r="D62" s="241"/>
      <c r="E62" s="241"/>
      <c r="F62" s="241"/>
      <c r="G62" s="241"/>
      <c r="H62" s="272"/>
      <c r="I62" s="272"/>
      <c r="J62" s="272"/>
      <c r="K62" s="241"/>
      <c r="L62" s="241"/>
      <c r="M62" s="241"/>
      <c r="N62" s="242"/>
    </row>
    <row r="63" spans="2:14" ht="12.75">
      <c r="B63" s="340" t="s">
        <v>343</v>
      </c>
      <c r="C63" s="341"/>
      <c r="D63" s="241">
        <v>-5162</v>
      </c>
      <c r="E63" s="241">
        <f>-Reserves!D54</f>
        <v>-5590</v>
      </c>
      <c r="F63" s="241">
        <f>-Reserves!E54</f>
        <v>-10095</v>
      </c>
      <c r="G63" s="241">
        <f>-Reserves!F54</f>
        <v>-14900</v>
      </c>
      <c r="H63" s="272">
        <f>-Reserves!G54</f>
        <v>-15700</v>
      </c>
      <c r="I63" s="272">
        <f>-Reserves!H54</f>
        <v>-17930</v>
      </c>
      <c r="J63" s="272">
        <f>-Reserves!I54</f>
        <v>-17235</v>
      </c>
      <c r="K63" s="241">
        <f>-Reserves!J54</f>
        <v>-15910</v>
      </c>
      <c r="L63" s="241">
        <f>-Reserves!K54</f>
        <v>-15745</v>
      </c>
      <c r="M63" s="241">
        <f>-Reserves!L54</f>
        <v>-16730</v>
      </c>
      <c r="N63" s="242">
        <f>-Reserves!M54</f>
        <v>-17305</v>
      </c>
    </row>
    <row r="64" spans="2:14" ht="12.75">
      <c r="B64" s="336" t="s">
        <v>344</v>
      </c>
      <c r="C64" s="337"/>
      <c r="D64" s="241">
        <v>-1567</v>
      </c>
      <c r="E64" s="241">
        <v>0</v>
      </c>
      <c r="F64" s="241">
        <v>0</v>
      </c>
      <c r="G64" s="241">
        <v>0</v>
      </c>
      <c r="H64" s="272">
        <v>0</v>
      </c>
      <c r="I64" s="272">
        <v>0</v>
      </c>
      <c r="J64" s="272">
        <v>0</v>
      </c>
      <c r="K64" s="241">
        <v>0</v>
      </c>
      <c r="L64" s="241">
        <v>0</v>
      </c>
      <c r="M64" s="241">
        <v>0</v>
      </c>
      <c r="N64" s="242">
        <v>0</v>
      </c>
    </row>
    <row r="65" spans="2:14" ht="12.75">
      <c r="B65" s="340" t="s">
        <v>345</v>
      </c>
      <c r="C65" s="342"/>
      <c r="D65" s="241">
        <v>71</v>
      </c>
      <c r="E65" s="241">
        <f>Loans!D82</f>
        <v>83</v>
      </c>
      <c r="F65" s="241">
        <f>Loans!E82</f>
        <v>128</v>
      </c>
      <c r="G65" s="241">
        <f>Loans!F82</f>
        <v>138</v>
      </c>
      <c r="H65" s="272">
        <f>Loans!G82</f>
        <v>135</v>
      </c>
      <c r="I65" s="272">
        <f>Loans!H82</f>
        <v>144</v>
      </c>
      <c r="J65" s="272">
        <f>Loans!I82</f>
        <v>162</v>
      </c>
      <c r="K65" s="241">
        <f>Loans!J82</f>
        <v>195</v>
      </c>
      <c r="L65" s="241">
        <f>Loans!K82</f>
        <v>221</v>
      </c>
      <c r="M65" s="241">
        <f>Loans!L82</f>
        <v>168</v>
      </c>
      <c r="N65" s="242">
        <f>Loans!M82</f>
        <v>147</v>
      </c>
    </row>
    <row r="66" spans="2:14" ht="12.75">
      <c r="B66" s="48" t="s">
        <v>346</v>
      </c>
      <c r="C66" s="49"/>
      <c r="D66" s="241">
        <v>644</v>
      </c>
      <c r="E66" s="241">
        <f>E29</f>
        <v>963</v>
      </c>
      <c r="F66" s="241">
        <f aca="true" t="shared" si="18" ref="F66:N66">F29</f>
        <v>1011.1500000000001</v>
      </c>
      <c r="G66" s="241">
        <f t="shared" si="18"/>
        <v>1061.7075000000002</v>
      </c>
      <c r="H66" s="272">
        <f t="shared" si="18"/>
        <v>1114.7928750000003</v>
      </c>
      <c r="I66" s="272">
        <f t="shared" si="18"/>
        <v>1170.5325187500005</v>
      </c>
      <c r="J66" s="272">
        <f t="shared" si="18"/>
        <v>1229.0591446875005</v>
      </c>
      <c r="K66" s="241">
        <f t="shared" si="18"/>
        <v>1290.5121019218757</v>
      </c>
      <c r="L66" s="241">
        <f t="shared" si="18"/>
        <v>1355.0377070179695</v>
      </c>
      <c r="M66" s="241">
        <f t="shared" si="18"/>
        <v>1422.7895923688682</v>
      </c>
      <c r="N66" s="242">
        <f t="shared" si="18"/>
        <v>1493.9290719873115</v>
      </c>
    </row>
    <row r="67" spans="2:14" ht="12.75">
      <c r="B67" s="136"/>
      <c r="C67" s="71"/>
      <c r="D67" s="241"/>
      <c r="E67" s="241"/>
      <c r="F67" s="241"/>
      <c r="G67" s="241"/>
      <c r="H67" s="272"/>
      <c r="I67" s="272"/>
      <c r="J67" s="272"/>
      <c r="K67" s="241"/>
      <c r="L67" s="241"/>
      <c r="M67" s="241"/>
      <c r="N67" s="242"/>
    </row>
    <row r="68" spans="2:14" ht="13.5" thickBot="1">
      <c r="B68" s="338" t="s">
        <v>342</v>
      </c>
      <c r="C68" s="355"/>
      <c r="D68" s="244">
        <f>SUM(D61:D66)</f>
        <v>1164</v>
      </c>
      <c r="E68" s="244">
        <f aca="true" t="shared" si="19" ref="E68:N68">SUM(E61:E66)</f>
        <v>52</v>
      </c>
      <c r="F68" s="244">
        <f t="shared" si="19"/>
        <v>8.580000000002201</v>
      </c>
      <c r="G68" s="244">
        <f t="shared" si="19"/>
        <v>80.42250000000035</v>
      </c>
      <c r="H68" s="244">
        <f t="shared" si="19"/>
        <v>201.3342619999978</v>
      </c>
      <c r="I68" s="244">
        <f>SUM(I61:I66)-0</f>
        <v>351.48680912187615</v>
      </c>
      <c r="J68" s="244">
        <f t="shared" si="19"/>
        <v>561.1473582388753</v>
      </c>
      <c r="K68" s="244">
        <f t="shared" si="19"/>
        <v>693.7099638540137</v>
      </c>
      <c r="L68" s="244">
        <f t="shared" si="19"/>
        <v>846.7659438481062</v>
      </c>
      <c r="M68" s="244">
        <f t="shared" si="19"/>
        <v>1011.314632512516</v>
      </c>
      <c r="N68" s="245">
        <f t="shared" si="19"/>
        <v>1162.2054151723369</v>
      </c>
    </row>
    <row r="69" spans="2:14" ht="14.25" thickBot="1" thickTop="1">
      <c r="B69" s="246"/>
      <c r="C69" s="247"/>
      <c r="D69" s="247"/>
      <c r="E69" s="247"/>
      <c r="F69" s="247"/>
      <c r="G69" s="248"/>
      <c r="H69" s="248"/>
      <c r="I69" s="248"/>
      <c r="J69" s="248"/>
      <c r="K69" s="248"/>
      <c r="L69" s="248"/>
      <c r="M69" s="248"/>
      <c r="N69" s="249"/>
    </row>
  </sheetData>
  <mergeCells count="46">
    <mergeCell ref="B10:C10"/>
    <mergeCell ref="B2:N2"/>
    <mergeCell ref="B3:N3"/>
    <mergeCell ref="B4:N4"/>
    <mergeCell ref="B9:C9"/>
    <mergeCell ref="B7:C7"/>
    <mergeCell ref="B8:C8"/>
    <mergeCell ref="B11:C11"/>
    <mergeCell ref="B17:C17"/>
    <mergeCell ref="B15:C15"/>
    <mergeCell ref="B16:C16"/>
    <mergeCell ref="B30:C30"/>
    <mergeCell ref="B21:C21"/>
    <mergeCell ref="B25:C25"/>
    <mergeCell ref="B13:C13"/>
    <mergeCell ref="B18:C18"/>
    <mergeCell ref="B33:C33"/>
    <mergeCell ref="B34:C34"/>
    <mergeCell ref="B19:C19"/>
    <mergeCell ref="B20:C20"/>
    <mergeCell ref="B26:C26"/>
    <mergeCell ref="B27:C27"/>
    <mergeCell ref="B28:C28"/>
    <mergeCell ref="B32:C32"/>
    <mergeCell ref="B23:C23"/>
    <mergeCell ref="B29:C29"/>
    <mergeCell ref="B35:C35"/>
    <mergeCell ref="B36:C36"/>
    <mergeCell ref="B38:C38"/>
    <mergeCell ref="B40:C40"/>
    <mergeCell ref="B47:C47"/>
    <mergeCell ref="B48:C48"/>
    <mergeCell ref="B49:C49"/>
    <mergeCell ref="B50:C50"/>
    <mergeCell ref="B52:C52"/>
    <mergeCell ref="B54:C54"/>
    <mergeCell ref="B55:C55"/>
    <mergeCell ref="B56:C56"/>
    <mergeCell ref="B57:C57"/>
    <mergeCell ref="B58:C58"/>
    <mergeCell ref="B59:C59"/>
    <mergeCell ref="B61:C61"/>
    <mergeCell ref="B63:C63"/>
    <mergeCell ref="B64:C64"/>
    <mergeCell ref="B65:C65"/>
    <mergeCell ref="B68:C6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34"/>
  <sheetViews>
    <sheetView showGridLines="0" zoomScaleSheetLayoutView="100" workbookViewId="0" topLeftCell="A1">
      <selection activeCell="B2" sqref="B2:M2"/>
    </sheetView>
  </sheetViews>
  <sheetFormatPr defaultColWidth="9.140625" defaultRowHeight="12.75"/>
  <cols>
    <col min="1" max="2" width="5.7109375" style="0" customWidth="1"/>
    <col min="3" max="3" width="35.140625" style="0" customWidth="1"/>
    <col min="4" max="4" width="11.57421875" style="0" customWidth="1"/>
    <col min="5" max="5" width="11.00390625" style="0" customWidth="1"/>
    <col min="6" max="9" width="11.00390625" style="91" customWidth="1"/>
    <col min="10" max="13" width="11.00390625" style="0" customWidth="1"/>
  </cols>
  <sheetData>
    <row r="1" ht="13.5" thickBot="1"/>
    <row r="2" spans="2:13" ht="23.25">
      <c r="B2" s="343" t="s">
        <v>351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5"/>
    </row>
    <row r="3" spans="2:13" ht="21">
      <c r="B3" s="346" t="s">
        <v>302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8"/>
    </row>
    <row r="4" spans="2:13" ht="16.5" thickBot="1">
      <c r="B4" s="349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1"/>
    </row>
    <row r="5" spans="2:13" ht="12.75">
      <c r="B5" s="11"/>
      <c r="C5" s="12"/>
      <c r="D5" s="9" t="s">
        <v>0</v>
      </c>
      <c r="E5" s="9" t="s">
        <v>1</v>
      </c>
      <c r="F5" s="197" t="s">
        <v>2</v>
      </c>
      <c r="G5" s="197" t="s">
        <v>3</v>
      </c>
      <c r="H5" s="197" t="s">
        <v>4</v>
      </c>
      <c r="I5" s="197" t="s">
        <v>5</v>
      </c>
      <c r="J5" s="9" t="s">
        <v>6</v>
      </c>
      <c r="K5" s="9" t="s">
        <v>7</v>
      </c>
      <c r="L5" s="9" t="s">
        <v>8</v>
      </c>
      <c r="M5" s="10" t="s">
        <v>9</v>
      </c>
    </row>
    <row r="6" spans="2:13" ht="13.5" thickBot="1">
      <c r="B6" s="13"/>
      <c r="C6" s="14"/>
      <c r="D6" s="15" t="s">
        <v>10</v>
      </c>
      <c r="E6" s="15" t="s">
        <v>10</v>
      </c>
      <c r="F6" s="198" t="s">
        <v>10</v>
      </c>
      <c r="G6" s="198" t="s">
        <v>10</v>
      </c>
      <c r="H6" s="198" t="s">
        <v>10</v>
      </c>
      <c r="I6" s="198" t="s">
        <v>10</v>
      </c>
      <c r="J6" s="15" t="s">
        <v>10</v>
      </c>
      <c r="K6" s="15" t="s">
        <v>10</v>
      </c>
      <c r="L6" s="15" t="s">
        <v>10</v>
      </c>
      <c r="M6" s="16" t="s">
        <v>10</v>
      </c>
    </row>
    <row r="7" spans="2:13" ht="12.75">
      <c r="B7" s="363" t="s">
        <v>87</v>
      </c>
      <c r="C7" s="364"/>
      <c r="D7" s="281"/>
      <c r="E7" s="281"/>
      <c r="F7" s="281"/>
      <c r="G7" s="281"/>
      <c r="H7" s="281"/>
      <c r="I7" s="281"/>
      <c r="J7" s="281"/>
      <c r="K7" s="281"/>
      <c r="L7" s="281"/>
      <c r="M7" s="282"/>
    </row>
    <row r="8" spans="2:13" ht="12.75">
      <c r="B8" s="359" t="s">
        <v>303</v>
      </c>
      <c r="C8" s="360"/>
      <c r="D8" s="284"/>
      <c r="E8" s="284"/>
      <c r="F8" s="284"/>
      <c r="G8" s="284"/>
      <c r="H8" s="284"/>
      <c r="I8" s="284"/>
      <c r="J8" s="284"/>
      <c r="K8" s="284"/>
      <c r="L8" s="284"/>
      <c r="M8" s="285"/>
    </row>
    <row r="9" spans="2:13" ht="12.75">
      <c r="B9" s="340" t="s">
        <v>306</v>
      </c>
      <c r="C9" s="341"/>
      <c r="D9" s="17">
        <v>123042</v>
      </c>
      <c r="E9" s="17">
        <f>D12</f>
        <v>129365</v>
      </c>
      <c r="F9" s="17">
        <f aca="true" t="shared" si="0" ref="F9:M9">E12</f>
        <v>131463.461</v>
      </c>
      <c r="G9" s="17">
        <f t="shared" si="0"/>
        <v>133819.563261</v>
      </c>
      <c r="H9" s="17">
        <f t="shared" si="0"/>
        <v>140136.007576981</v>
      </c>
      <c r="I9" s="17">
        <f t="shared" si="0"/>
        <v>142242.84325554976</v>
      </c>
      <c r="J9" s="17">
        <f t="shared" si="0"/>
        <v>147447.09066734984</v>
      </c>
      <c r="K9" s="17">
        <f t="shared" si="0"/>
        <v>153553.55405876768</v>
      </c>
      <c r="L9" s="17">
        <f t="shared" si="0"/>
        <v>157983.82530735305</v>
      </c>
      <c r="M9" s="18">
        <f t="shared" si="0"/>
        <v>161521.34575182467</v>
      </c>
    </row>
    <row r="10" spans="2:13" ht="12.75">
      <c r="B10" s="340" t="s">
        <v>309</v>
      </c>
      <c r="C10" s="342"/>
      <c r="D10" s="17">
        <f>-D17</f>
        <v>-428</v>
      </c>
      <c r="E10" s="17">
        <f aca="true" t="shared" si="1" ref="E10:M10">-E17</f>
        <v>-4505</v>
      </c>
      <c r="F10" s="17">
        <f t="shared" si="1"/>
        <v>-4805</v>
      </c>
      <c r="G10" s="17">
        <f t="shared" si="1"/>
        <v>-800</v>
      </c>
      <c r="H10" s="17">
        <f t="shared" si="1"/>
        <v>-2230</v>
      </c>
      <c r="I10" s="17">
        <f t="shared" si="1"/>
        <v>695</v>
      </c>
      <c r="J10" s="17">
        <f t="shared" si="1"/>
        <v>1325</v>
      </c>
      <c r="K10" s="17">
        <f t="shared" si="1"/>
        <v>165</v>
      </c>
      <c r="L10" s="17">
        <f t="shared" si="1"/>
        <v>-985</v>
      </c>
      <c r="M10" s="18">
        <f t="shared" si="1"/>
        <v>-575</v>
      </c>
    </row>
    <row r="11" spans="2:13" ht="12.75">
      <c r="B11" s="336" t="s">
        <v>307</v>
      </c>
      <c r="C11" s="337"/>
      <c r="D11" s="2">
        <f>SCINT!D43</f>
        <v>6751</v>
      </c>
      <c r="E11" s="2">
        <f>SCINT!E36</f>
        <v>6603.461000000003</v>
      </c>
      <c r="F11" s="2">
        <f>SCINT!F36</f>
        <v>7161.102260999996</v>
      </c>
      <c r="G11" s="2">
        <f>SCINT!G36</f>
        <v>7116.4443159810035</v>
      </c>
      <c r="H11" s="2">
        <f>SCINT!H36</f>
        <v>4336.835678568754</v>
      </c>
      <c r="I11" s="2">
        <f>SCINT!I36</f>
        <v>4509.24741180009</v>
      </c>
      <c r="J11" s="2">
        <f>SCINT!J36</f>
        <v>4781.46339141783</v>
      </c>
      <c r="K11" s="2">
        <f>SCINT!K36</f>
        <v>4265.271248585363</v>
      </c>
      <c r="L11" s="2">
        <f>SCINT!L36</f>
        <v>4522.520444471633</v>
      </c>
      <c r="M11" s="7">
        <f>SCINT!M36</f>
        <v>4850.042817370191</v>
      </c>
    </row>
    <row r="12" spans="2:13" ht="12.75">
      <c r="B12" s="338" t="s">
        <v>308</v>
      </c>
      <c r="C12" s="339"/>
      <c r="D12" s="29">
        <f aca="true" t="shared" si="2" ref="D12:M12">SUM(D9:D11)</f>
        <v>129365</v>
      </c>
      <c r="E12" s="29">
        <f t="shared" si="2"/>
        <v>131463.461</v>
      </c>
      <c r="F12" s="29">
        <f t="shared" si="2"/>
        <v>133819.563261</v>
      </c>
      <c r="G12" s="29">
        <f t="shared" si="2"/>
        <v>140136.007576981</v>
      </c>
      <c r="H12" s="29">
        <f t="shared" si="2"/>
        <v>142242.84325554976</v>
      </c>
      <c r="I12" s="29">
        <f t="shared" si="2"/>
        <v>147447.09066734984</v>
      </c>
      <c r="J12" s="29">
        <f t="shared" si="2"/>
        <v>153553.55405876768</v>
      </c>
      <c r="K12" s="29">
        <f t="shared" si="2"/>
        <v>157983.82530735305</v>
      </c>
      <c r="L12" s="29">
        <f t="shared" si="2"/>
        <v>161521.34575182467</v>
      </c>
      <c r="M12" s="30">
        <f t="shared" si="2"/>
        <v>165796.38856919485</v>
      </c>
    </row>
    <row r="13" spans="2:13" ht="12.75">
      <c r="B13" s="21"/>
      <c r="C13" s="22"/>
      <c r="D13" s="19"/>
      <c r="E13" s="19"/>
      <c r="F13" s="19"/>
      <c r="G13" s="19"/>
      <c r="H13" s="19"/>
      <c r="I13" s="19"/>
      <c r="J13" s="19"/>
      <c r="K13" s="19"/>
      <c r="L13" s="19"/>
      <c r="M13" s="20"/>
    </row>
    <row r="14" spans="1:13" ht="12.75">
      <c r="A14" s="43"/>
      <c r="B14" s="357"/>
      <c r="C14" s="365"/>
      <c r="D14" s="284"/>
      <c r="E14" s="284"/>
      <c r="F14" s="284"/>
      <c r="G14" s="284"/>
      <c r="H14" s="284"/>
      <c r="I14" s="284"/>
      <c r="J14" s="284"/>
      <c r="K14" s="284"/>
      <c r="L14" s="284"/>
      <c r="M14" s="285"/>
    </row>
    <row r="15" spans="1:13" ht="12.75">
      <c r="A15" s="43"/>
      <c r="B15" s="359" t="s">
        <v>304</v>
      </c>
      <c r="C15" s="360"/>
      <c r="D15" s="284"/>
      <c r="E15" s="284"/>
      <c r="F15" s="284"/>
      <c r="G15" s="284"/>
      <c r="H15" s="284"/>
      <c r="I15" s="284"/>
      <c r="J15" s="284"/>
      <c r="K15" s="284"/>
      <c r="L15" s="284"/>
      <c r="M15" s="285"/>
    </row>
    <row r="16" spans="2:13" ht="12.75">
      <c r="B16" s="366" t="s">
        <v>306</v>
      </c>
      <c r="C16" s="337"/>
      <c r="D16" s="17">
        <v>5162</v>
      </c>
      <c r="E16" s="17">
        <f>D18</f>
        <v>5590</v>
      </c>
      <c r="F16" s="17">
        <f aca="true" t="shared" si="3" ref="F16:M16">E18</f>
        <v>10095</v>
      </c>
      <c r="G16" s="17">
        <f t="shared" si="3"/>
        <v>14900</v>
      </c>
      <c r="H16" s="17">
        <f t="shared" si="3"/>
        <v>15700</v>
      </c>
      <c r="I16" s="17">
        <f t="shared" si="3"/>
        <v>17930</v>
      </c>
      <c r="J16" s="17">
        <f t="shared" si="3"/>
        <v>17235</v>
      </c>
      <c r="K16" s="17">
        <f t="shared" si="3"/>
        <v>15910</v>
      </c>
      <c r="L16" s="17">
        <f t="shared" si="3"/>
        <v>15745</v>
      </c>
      <c r="M16" s="18">
        <f t="shared" si="3"/>
        <v>16730</v>
      </c>
    </row>
    <row r="17" spans="2:13" ht="12.75">
      <c r="B17" s="340" t="s">
        <v>309</v>
      </c>
      <c r="C17" s="342"/>
      <c r="D17" s="55">
        <v>428</v>
      </c>
      <c r="E17" s="55">
        <v>4505</v>
      </c>
      <c r="F17" s="55">
        <v>4805</v>
      </c>
      <c r="G17" s="55">
        <v>800</v>
      </c>
      <c r="H17" s="55">
        <v>2230</v>
      </c>
      <c r="I17" s="55">
        <v>-695</v>
      </c>
      <c r="J17" s="55">
        <v>-1325</v>
      </c>
      <c r="K17" s="55">
        <v>-165</v>
      </c>
      <c r="L17" s="55">
        <v>985</v>
      </c>
      <c r="M17" s="56">
        <v>575</v>
      </c>
    </row>
    <row r="18" spans="2:13" ht="12.75">
      <c r="B18" s="325" t="s">
        <v>311</v>
      </c>
      <c r="C18" s="369"/>
      <c r="D18" s="2">
        <f>SUM(D16:D17)</f>
        <v>5590</v>
      </c>
      <c r="E18" s="2">
        <f aca="true" t="shared" si="4" ref="E18:M18">SUM(E16:E17)</f>
        <v>10095</v>
      </c>
      <c r="F18" s="2">
        <f t="shared" si="4"/>
        <v>14900</v>
      </c>
      <c r="G18" s="2">
        <f t="shared" si="4"/>
        <v>15700</v>
      </c>
      <c r="H18" s="2">
        <f t="shared" si="4"/>
        <v>17930</v>
      </c>
      <c r="I18" s="2">
        <f t="shared" si="4"/>
        <v>17235</v>
      </c>
      <c r="J18" s="2">
        <f t="shared" si="4"/>
        <v>15910</v>
      </c>
      <c r="K18" s="2">
        <f t="shared" si="4"/>
        <v>15745</v>
      </c>
      <c r="L18" s="2">
        <f t="shared" si="4"/>
        <v>16730</v>
      </c>
      <c r="M18" s="7">
        <f t="shared" si="4"/>
        <v>17305</v>
      </c>
    </row>
    <row r="19" spans="2:13" ht="12.75">
      <c r="B19" s="340"/>
      <c r="C19" s="342"/>
      <c r="D19" s="2"/>
      <c r="E19" s="2"/>
      <c r="F19" s="2"/>
      <c r="G19" s="2"/>
      <c r="H19" s="2"/>
      <c r="I19" s="2"/>
      <c r="J19" s="2"/>
      <c r="K19" s="2"/>
      <c r="L19" s="2"/>
      <c r="M19" s="7"/>
    </row>
    <row r="20" spans="1:13" ht="12.75">
      <c r="A20" s="43"/>
      <c r="B20" s="357"/>
      <c r="C20" s="365"/>
      <c r="D20" s="284"/>
      <c r="E20" s="284"/>
      <c r="F20" s="284"/>
      <c r="G20" s="284"/>
      <c r="H20" s="284"/>
      <c r="I20" s="284"/>
      <c r="J20" s="284"/>
      <c r="K20" s="284"/>
      <c r="L20" s="284"/>
      <c r="M20" s="285"/>
    </row>
    <row r="21" spans="1:13" ht="12.75">
      <c r="A21" s="43"/>
      <c r="B21" s="359" t="s">
        <v>305</v>
      </c>
      <c r="C21" s="360"/>
      <c r="D21" s="284"/>
      <c r="E21" s="284"/>
      <c r="F21" s="284"/>
      <c r="G21" s="284"/>
      <c r="H21" s="284"/>
      <c r="I21" s="284"/>
      <c r="J21" s="284"/>
      <c r="K21" s="284"/>
      <c r="L21" s="284"/>
      <c r="M21" s="285"/>
    </row>
    <row r="22" spans="2:13" ht="12.75">
      <c r="B22" s="340" t="s">
        <v>306</v>
      </c>
      <c r="C22" s="341"/>
      <c r="D22" s="17">
        <v>95827</v>
      </c>
      <c r="E22" s="17">
        <f>D24</f>
        <v>95827</v>
      </c>
      <c r="F22" s="17">
        <f aca="true" t="shared" si="5" ref="F22:M22">E24</f>
        <v>95827</v>
      </c>
      <c r="G22" s="17">
        <f t="shared" si="5"/>
        <v>95827</v>
      </c>
      <c r="H22" s="17">
        <f t="shared" si="5"/>
        <v>114789.775492</v>
      </c>
      <c r="I22" s="17">
        <f t="shared" si="5"/>
        <v>114789.775492</v>
      </c>
      <c r="J22" s="17">
        <f t="shared" si="5"/>
        <v>114789.775492</v>
      </c>
      <c r="K22" s="17">
        <f t="shared" si="5"/>
        <v>137966.66901025665</v>
      </c>
      <c r="L22" s="17">
        <f t="shared" si="5"/>
        <v>137966.66901025665</v>
      </c>
      <c r="M22" s="18">
        <f t="shared" si="5"/>
        <v>137966.66901025665</v>
      </c>
    </row>
    <row r="23" spans="2:13" ht="12.75">
      <c r="B23" s="336" t="s">
        <v>310</v>
      </c>
      <c r="C23" s="337"/>
      <c r="D23" s="55">
        <f>SCINT!D41</f>
        <v>0</v>
      </c>
      <c r="E23" s="55">
        <f>SCINT!E41</f>
        <v>0</v>
      </c>
      <c r="F23" s="55">
        <f>SCINT!F41</f>
        <v>0</v>
      </c>
      <c r="G23" s="55">
        <f>SCINT!G41</f>
        <v>18962.775492</v>
      </c>
      <c r="H23" s="55">
        <f>SCINT!H41</f>
        <v>0</v>
      </c>
      <c r="I23" s="55">
        <f>SCINT!I41</f>
        <v>0</v>
      </c>
      <c r="J23" s="55">
        <f>SCINT!J41</f>
        <v>23176.89351825664</v>
      </c>
      <c r="K23" s="55">
        <f>SCINT!K41</f>
        <v>0</v>
      </c>
      <c r="L23" s="55">
        <f>SCINT!L41</f>
        <v>0</v>
      </c>
      <c r="M23" s="56">
        <f>SCINT!M41</f>
        <v>26847.170320766734</v>
      </c>
    </row>
    <row r="24" spans="2:13" ht="12.75">
      <c r="B24" s="361" t="s">
        <v>312</v>
      </c>
      <c r="C24" s="368"/>
      <c r="D24" s="163">
        <f>D22+D23</f>
        <v>95827</v>
      </c>
      <c r="E24" s="163">
        <f aca="true" t="shared" si="6" ref="E24:M24">E22+E23</f>
        <v>95827</v>
      </c>
      <c r="F24" s="163">
        <f t="shared" si="6"/>
        <v>95827</v>
      </c>
      <c r="G24" s="163">
        <f t="shared" si="6"/>
        <v>114789.775492</v>
      </c>
      <c r="H24" s="163">
        <f t="shared" si="6"/>
        <v>114789.775492</v>
      </c>
      <c r="I24" s="163">
        <f t="shared" si="6"/>
        <v>114789.775492</v>
      </c>
      <c r="J24" s="163">
        <f t="shared" si="6"/>
        <v>137966.66901025665</v>
      </c>
      <c r="K24" s="163">
        <f t="shared" si="6"/>
        <v>137966.66901025665</v>
      </c>
      <c r="L24" s="163">
        <f t="shared" si="6"/>
        <v>137966.66901025665</v>
      </c>
      <c r="M24" s="187">
        <f t="shared" si="6"/>
        <v>164813.8393310234</v>
      </c>
    </row>
    <row r="25" spans="2:13" ht="12.75">
      <c r="B25" s="21"/>
      <c r="C25" s="22"/>
      <c r="D25" s="19"/>
      <c r="E25" s="19"/>
      <c r="F25" s="19"/>
      <c r="G25" s="19"/>
      <c r="H25" s="19"/>
      <c r="I25" s="19"/>
      <c r="J25" s="19"/>
      <c r="K25" s="19"/>
      <c r="L25" s="19"/>
      <c r="M25" s="20"/>
    </row>
    <row r="26" spans="2:13" ht="12.75">
      <c r="B26" s="21"/>
      <c r="C26" s="22"/>
      <c r="D26" s="19"/>
      <c r="E26" s="19"/>
      <c r="F26" s="19"/>
      <c r="G26" s="19"/>
      <c r="H26" s="19"/>
      <c r="I26" s="19"/>
      <c r="J26" s="19"/>
      <c r="K26" s="19"/>
      <c r="L26" s="19"/>
      <c r="M26" s="20"/>
    </row>
    <row r="27" spans="1:13" ht="12.75">
      <c r="A27" s="43"/>
      <c r="B27" s="359" t="s">
        <v>86</v>
      </c>
      <c r="C27" s="360"/>
      <c r="D27" s="284"/>
      <c r="E27" s="284"/>
      <c r="F27" s="284"/>
      <c r="G27" s="284"/>
      <c r="H27" s="284"/>
      <c r="I27" s="284"/>
      <c r="J27" s="284"/>
      <c r="K27" s="284"/>
      <c r="L27" s="284"/>
      <c r="M27" s="285"/>
    </row>
    <row r="28" spans="2:13" ht="13.5" thickBot="1">
      <c r="B28" s="361" t="s">
        <v>308</v>
      </c>
      <c r="C28" s="367"/>
      <c r="D28" s="189">
        <f aca="true" t="shared" si="7" ref="D28:M28">D12+D18+D24</f>
        <v>230782</v>
      </c>
      <c r="E28" s="189">
        <f t="shared" si="7"/>
        <v>237385.461</v>
      </c>
      <c r="F28" s="217">
        <f t="shared" si="7"/>
        <v>244546.563261</v>
      </c>
      <c r="G28" s="189">
        <f t="shared" si="7"/>
        <v>270625.783068981</v>
      </c>
      <c r="H28" s="217">
        <f t="shared" si="7"/>
        <v>274962.6187475498</v>
      </c>
      <c r="I28" s="217">
        <f t="shared" si="7"/>
        <v>279471.86615934985</v>
      </c>
      <c r="J28" s="189">
        <f t="shared" si="7"/>
        <v>307430.22306902433</v>
      </c>
      <c r="K28" s="189">
        <f t="shared" si="7"/>
        <v>311695.4943176097</v>
      </c>
      <c r="L28" s="189">
        <f t="shared" si="7"/>
        <v>316218.0147620813</v>
      </c>
      <c r="M28" s="190">
        <f t="shared" si="7"/>
        <v>347915.2279002182</v>
      </c>
    </row>
    <row r="29" spans="2:13" ht="13.5" thickTop="1">
      <c r="B29" s="48"/>
      <c r="C29" s="47"/>
      <c r="D29" s="17"/>
      <c r="E29" s="17"/>
      <c r="F29" s="199"/>
      <c r="G29" s="17"/>
      <c r="H29" s="199"/>
      <c r="I29" s="199"/>
      <c r="J29" s="17"/>
      <c r="K29" s="17"/>
      <c r="L29" s="17"/>
      <c r="M29" s="18"/>
    </row>
    <row r="30" spans="2:13" ht="13.5" thickBot="1">
      <c r="B30" s="60" t="s">
        <v>336</v>
      </c>
      <c r="C30" s="63"/>
      <c r="D30" s="189">
        <f>SFPBS!E40</f>
        <v>230782</v>
      </c>
      <c r="E30" s="189">
        <f>SFPBS!F40</f>
        <v>237385.471</v>
      </c>
      <c r="F30" s="217">
        <f>SFPBS!G40</f>
        <v>244546.658561</v>
      </c>
      <c r="G30" s="189">
        <f>SFPBS!H40</f>
        <v>270625.976724231</v>
      </c>
      <c r="H30" s="217">
        <f>SFPBS!I40</f>
        <v>274962.5044569291</v>
      </c>
      <c r="I30" s="217">
        <f>SFPBS!J40</f>
        <v>279471.7048419063</v>
      </c>
      <c r="J30" s="189">
        <f>SFPBS!K40</f>
        <v>307430.6835137691</v>
      </c>
      <c r="K30" s="189">
        <f>SFPBS!L40</f>
        <v>311695.1035297701</v>
      </c>
      <c r="L30" s="189">
        <f>SFPBS!M40</f>
        <v>316218.2684817079</v>
      </c>
      <c r="M30" s="190">
        <f>SFPBS!N40</f>
        <v>347915.13807382574</v>
      </c>
    </row>
    <row r="31" spans="2:13" ht="14.25" thickBot="1" thickTop="1">
      <c r="B31" s="188"/>
      <c r="C31" s="149"/>
      <c r="D31" s="75"/>
      <c r="E31" s="75"/>
      <c r="F31" s="218"/>
      <c r="G31" s="75"/>
      <c r="H31" s="218"/>
      <c r="I31" s="218"/>
      <c r="J31" s="75"/>
      <c r="K31" s="75"/>
      <c r="L31" s="75"/>
      <c r="M31" s="76"/>
    </row>
    <row r="33" spans="4:13" ht="12.75">
      <c r="D33" s="164"/>
      <c r="E33" s="164"/>
      <c r="F33" s="216"/>
      <c r="G33" s="216"/>
      <c r="H33" s="216"/>
      <c r="I33" s="216"/>
      <c r="J33" s="164"/>
      <c r="K33" s="164"/>
      <c r="L33" s="164"/>
      <c r="M33" s="164"/>
    </row>
    <row r="34" ht="12.75">
      <c r="G34" s="216"/>
    </row>
  </sheetData>
  <mergeCells count="22">
    <mergeCell ref="B2:M2"/>
    <mergeCell ref="B3:M3"/>
    <mergeCell ref="B4:M4"/>
    <mergeCell ref="B7:C7"/>
    <mergeCell ref="B8:C8"/>
    <mergeCell ref="B9:C9"/>
    <mergeCell ref="B11:C11"/>
    <mergeCell ref="B12:C12"/>
    <mergeCell ref="B10:C10"/>
    <mergeCell ref="B14:C14"/>
    <mergeCell ref="B15:C15"/>
    <mergeCell ref="B16:C16"/>
    <mergeCell ref="B20:C20"/>
    <mergeCell ref="B21:C21"/>
    <mergeCell ref="B22:C22"/>
    <mergeCell ref="B17:C17"/>
    <mergeCell ref="B18:C18"/>
    <mergeCell ref="B19:C19"/>
    <mergeCell ref="B28:C28"/>
    <mergeCell ref="B23:C23"/>
    <mergeCell ref="B24:C24"/>
    <mergeCell ref="B27:C2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N50"/>
  <sheetViews>
    <sheetView showGridLines="0" view="pageBreakPreview" zoomScaleNormal="115" zoomScaleSheetLayoutView="100" workbookViewId="0" topLeftCell="A1">
      <selection activeCell="B2" sqref="B2:M2"/>
    </sheetView>
  </sheetViews>
  <sheetFormatPr defaultColWidth="9.140625" defaultRowHeight="12.75"/>
  <cols>
    <col min="1" max="1" width="5.28125" style="0" customWidth="1"/>
    <col min="2" max="2" width="5.7109375" style="0" customWidth="1"/>
    <col min="3" max="3" width="43.140625" style="0" customWidth="1"/>
    <col min="4" max="5" width="11.00390625" style="0" customWidth="1"/>
    <col min="6" max="9" width="11.00390625" style="91" customWidth="1"/>
    <col min="10" max="13" width="11.00390625" style="0" customWidth="1"/>
  </cols>
  <sheetData>
    <row r="1" ht="13.5" thickBot="1"/>
    <row r="2" spans="2:13" ht="23.25">
      <c r="B2" s="343" t="s">
        <v>351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5"/>
    </row>
    <row r="3" spans="2:13" ht="21">
      <c r="B3" s="346" t="s">
        <v>92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8"/>
    </row>
    <row r="4" spans="2:13" ht="16.5" thickBot="1">
      <c r="B4" s="349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1"/>
    </row>
    <row r="5" spans="2:13" ht="12.75">
      <c r="B5" s="11"/>
      <c r="C5" s="12"/>
      <c r="D5" s="9" t="s">
        <v>0</v>
      </c>
      <c r="E5" s="9" t="s">
        <v>1</v>
      </c>
      <c r="F5" s="197" t="s">
        <v>2</v>
      </c>
      <c r="G5" s="197" t="s">
        <v>3</v>
      </c>
      <c r="H5" s="197" t="s">
        <v>4</v>
      </c>
      <c r="I5" s="197" t="s">
        <v>5</v>
      </c>
      <c r="J5" s="9" t="s">
        <v>6</v>
      </c>
      <c r="K5" s="9" t="s">
        <v>7</v>
      </c>
      <c r="L5" s="9" t="s">
        <v>8</v>
      </c>
      <c r="M5" s="10" t="s">
        <v>9</v>
      </c>
    </row>
    <row r="6" spans="2:13" ht="13.5" thickBot="1">
      <c r="B6" s="13"/>
      <c r="C6" s="14"/>
      <c r="D6" s="15" t="s">
        <v>10</v>
      </c>
      <c r="E6" s="15" t="s">
        <v>10</v>
      </c>
      <c r="F6" s="198" t="s">
        <v>10</v>
      </c>
      <c r="G6" s="198" t="s">
        <v>10</v>
      </c>
      <c r="H6" s="198" t="s">
        <v>10</v>
      </c>
      <c r="I6" s="198" t="s">
        <v>10</v>
      </c>
      <c r="J6" s="15" t="s">
        <v>10</v>
      </c>
      <c r="K6" s="15" t="s">
        <v>10</v>
      </c>
      <c r="L6" s="15" t="s">
        <v>10</v>
      </c>
      <c r="M6" s="16" t="s">
        <v>10</v>
      </c>
    </row>
    <row r="7" spans="2:13" ht="12.75">
      <c r="B7" s="363"/>
      <c r="C7" s="364"/>
      <c r="D7" s="281"/>
      <c r="E7" s="281"/>
      <c r="F7" s="281"/>
      <c r="G7" s="281"/>
      <c r="H7" s="281"/>
      <c r="I7" s="281"/>
      <c r="J7" s="281"/>
      <c r="K7" s="281"/>
      <c r="L7" s="281"/>
      <c r="M7" s="282"/>
    </row>
    <row r="8" spans="2:13" ht="12.75">
      <c r="B8" s="359" t="s">
        <v>93</v>
      </c>
      <c r="C8" s="360"/>
      <c r="D8" s="284"/>
      <c r="E8" s="284"/>
      <c r="F8" s="284"/>
      <c r="G8" s="284"/>
      <c r="H8" s="284"/>
      <c r="I8" s="284"/>
      <c r="J8" s="284"/>
      <c r="K8" s="284"/>
      <c r="L8" s="284"/>
      <c r="M8" s="285"/>
    </row>
    <row r="9" spans="2:13" ht="12.75">
      <c r="B9" s="48" t="s">
        <v>313</v>
      </c>
      <c r="C9" s="47"/>
      <c r="D9" s="51">
        <v>8387</v>
      </c>
      <c r="E9" s="51">
        <v>9351</v>
      </c>
      <c r="F9" s="200">
        <f>SCINT!F9+SCINT!F10</f>
        <v>10098.4212</v>
      </c>
      <c r="G9" s="51">
        <f>SCINT!G9+SCINT!G10</f>
        <v>10857.387744000001</v>
      </c>
      <c r="H9" s="51">
        <v>11672</v>
      </c>
      <c r="I9" s="51">
        <v>12434</v>
      </c>
      <c r="J9" s="51">
        <v>13242</v>
      </c>
      <c r="K9" s="51">
        <v>14103</v>
      </c>
      <c r="L9" s="51">
        <v>15019</v>
      </c>
      <c r="M9" s="57">
        <v>15996</v>
      </c>
    </row>
    <row r="10" spans="2:13" ht="12.75">
      <c r="B10" s="340" t="s">
        <v>11</v>
      </c>
      <c r="C10" s="342"/>
      <c r="D10" s="51">
        <v>18436</v>
      </c>
      <c r="E10" s="51">
        <v>18223</v>
      </c>
      <c r="F10" s="200">
        <v>18816</v>
      </c>
      <c r="G10" s="51">
        <v>18925</v>
      </c>
      <c r="H10" s="51">
        <v>16725</v>
      </c>
      <c r="I10" s="51">
        <v>17069</v>
      </c>
      <c r="J10" s="51">
        <v>17649</v>
      </c>
      <c r="K10" s="51">
        <v>18022</v>
      </c>
      <c r="L10" s="51">
        <v>18491</v>
      </c>
      <c r="M10" s="57">
        <v>19015</v>
      </c>
    </row>
    <row r="11" spans="2:13" ht="12.75">
      <c r="B11" s="338" t="s">
        <v>101</v>
      </c>
      <c r="C11" s="339"/>
      <c r="D11" s="29">
        <f aca="true" t="shared" si="0" ref="D11:M11">SUM(D9:D10)</f>
        <v>26823</v>
      </c>
      <c r="E11" s="29">
        <f t="shared" si="0"/>
        <v>27574</v>
      </c>
      <c r="F11" s="203">
        <f t="shared" si="0"/>
        <v>28914.4212</v>
      </c>
      <c r="G11" s="29">
        <f t="shared" si="0"/>
        <v>29782.387744</v>
      </c>
      <c r="H11" s="29">
        <f t="shared" si="0"/>
        <v>28397</v>
      </c>
      <c r="I11" s="29">
        <f t="shared" si="0"/>
        <v>29503</v>
      </c>
      <c r="J11" s="29">
        <f t="shared" si="0"/>
        <v>30891</v>
      </c>
      <c r="K11" s="29">
        <f t="shared" si="0"/>
        <v>32125</v>
      </c>
      <c r="L11" s="29">
        <f t="shared" si="0"/>
        <v>33510</v>
      </c>
      <c r="M11" s="30">
        <f t="shared" si="0"/>
        <v>35011</v>
      </c>
    </row>
    <row r="12" spans="2:13" ht="12.75">
      <c r="B12" s="21"/>
      <c r="C12" s="22"/>
      <c r="D12" s="19"/>
      <c r="E12" s="19"/>
      <c r="F12" s="89"/>
      <c r="G12" s="19"/>
      <c r="H12" s="19"/>
      <c r="I12" s="19"/>
      <c r="J12" s="19"/>
      <c r="K12" s="19"/>
      <c r="L12" s="19"/>
      <c r="M12" s="20"/>
    </row>
    <row r="13" spans="2:13" ht="12.75">
      <c r="B13" s="359" t="s">
        <v>102</v>
      </c>
      <c r="C13" s="360"/>
      <c r="D13" s="287"/>
      <c r="E13" s="287"/>
      <c r="F13" s="287"/>
      <c r="G13" s="287"/>
      <c r="H13" s="287"/>
      <c r="I13" s="287"/>
      <c r="J13" s="287"/>
      <c r="K13" s="287"/>
      <c r="L13" s="287"/>
      <c r="M13" s="288"/>
    </row>
    <row r="14" spans="2:13" ht="12.75">
      <c r="B14" s="340" t="s">
        <v>348</v>
      </c>
      <c r="C14" s="341"/>
      <c r="D14" s="19">
        <v>-20071</v>
      </c>
      <c r="E14" s="19">
        <v>-20970</v>
      </c>
      <c r="F14" s="89">
        <v>-21751</v>
      </c>
      <c r="G14" s="19">
        <v>-22666</v>
      </c>
      <c r="H14" s="19">
        <v>-24061</v>
      </c>
      <c r="I14" s="19">
        <v>-24994</v>
      </c>
      <c r="J14" s="19">
        <v>-26110</v>
      </c>
      <c r="K14" s="19">
        <v>-27861</v>
      </c>
      <c r="L14" s="19">
        <v>-28991</v>
      </c>
      <c r="M14" s="20">
        <v>-30161</v>
      </c>
    </row>
    <row r="15" spans="2:13" ht="12.75">
      <c r="B15" s="338"/>
      <c r="C15" s="355"/>
      <c r="D15" s="19"/>
      <c r="E15" s="19"/>
      <c r="F15" s="89"/>
      <c r="G15" s="19"/>
      <c r="H15" s="19"/>
      <c r="I15" s="19"/>
      <c r="J15" s="19"/>
      <c r="K15" s="19"/>
      <c r="L15" s="19"/>
      <c r="M15" s="20"/>
    </row>
    <row r="16" spans="2:13" ht="12.75">
      <c r="B16" s="325" t="s">
        <v>314</v>
      </c>
      <c r="C16" s="356"/>
      <c r="D16" s="23">
        <f>D11+D14</f>
        <v>6752</v>
      </c>
      <c r="E16" s="23">
        <f aca="true" t="shared" si="1" ref="E16:M16">E11+E14</f>
        <v>6604</v>
      </c>
      <c r="F16" s="23">
        <f t="shared" si="1"/>
        <v>7163.421200000001</v>
      </c>
      <c r="G16" s="23">
        <f t="shared" si="1"/>
        <v>7116.387744</v>
      </c>
      <c r="H16" s="23">
        <f t="shared" si="1"/>
        <v>4336</v>
      </c>
      <c r="I16" s="23">
        <f t="shared" si="1"/>
        <v>4509</v>
      </c>
      <c r="J16" s="23">
        <f t="shared" si="1"/>
        <v>4781</v>
      </c>
      <c r="K16" s="23">
        <f t="shared" si="1"/>
        <v>4264</v>
      </c>
      <c r="L16" s="23">
        <f t="shared" si="1"/>
        <v>4519</v>
      </c>
      <c r="M16" s="24">
        <f t="shared" si="1"/>
        <v>4850</v>
      </c>
    </row>
    <row r="17" spans="2:13" ht="13.5" thickBot="1">
      <c r="B17" s="372"/>
      <c r="C17" s="373"/>
      <c r="D17" s="152"/>
      <c r="E17" s="152"/>
      <c r="F17" s="213"/>
      <c r="G17" s="152"/>
      <c r="H17" s="152"/>
      <c r="I17" s="152"/>
      <c r="J17" s="152"/>
      <c r="K17" s="152"/>
      <c r="L17" s="152"/>
      <c r="M17" s="153"/>
    </row>
    <row r="18" spans="2:13" ht="12.75">
      <c r="B18" s="359" t="s">
        <v>104</v>
      </c>
      <c r="C18" s="360"/>
      <c r="D18" s="287"/>
      <c r="E18" s="287"/>
      <c r="F18" s="287"/>
      <c r="G18" s="287"/>
      <c r="H18" s="287"/>
      <c r="I18" s="287"/>
      <c r="J18" s="287"/>
      <c r="K18" s="287"/>
      <c r="L18" s="287"/>
      <c r="M18" s="288"/>
    </row>
    <row r="19" spans="2:13" ht="12.75">
      <c r="B19" s="340" t="s">
        <v>105</v>
      </c>
      <c r="C19" s="337"/>
      <c r="D19" s="19">
        <v>-92</v>
      </c>
      <c r="E19" s="19">
        <f>'SCI PR'!E65*-1</f>
        <v>-872</v>
      </c>
      <c r="F19" s="89">
        <f>'SCI PR'!F65*-1</f>
        <v>-746</v>
      </c>
      <c r="G19" s="19">
        <f>'SCI PR'!G65*-1</f>
        <v>-16</v>
      </c>
      <c r="H19" s="19">
        <f>'SCI PR'!H65*-1</f>
        <v>-10</v>
      </c>
      <c r="I19" s="19">
        <f>'SCI PR'!I65*-1</f>
        <v>-3</v>
      </c>
      <c r="J19" s="19">
        <f>'SCI PR'!J65*-1</f>
        <v>5</v>
      </c>
      <c r="K19" s="19">
        <f>'SCI PR'!K65*-1</f>
        <v>15</v>
      </c>
      <c r="L19" s="19">
        <f>'SCI PR'!L65*-1</f>
        <v>4</v>
      </c>
      <c r="M19" s="20">
        <f>'SCI PR'!M65*-1</f>
        <v>-5</v>
      </c>
    </row>
    <row r="20" spans="2:13" ht="12.75">
      <c r="B20" s="340" t="s">
        <v>106</v>
      </c>
      <c r="C20" s="342"/>
      <c r="D20" s="19">
        <v>31</v>
      </c>
      <c r="E20" s="19">
        <v>31</v>
      </c>
      <c r="F20" s="89">
        <v>33</v>
      </c>
      <c r="G20" s="19">
        <v>35</v>
      </c>
      <c r="H20" s="19">
        <v>36</v>
      </c>
      <c r="I20" s="19">
        <v>38</v>
      </c>
      <c r="J20" s="19">
        <v>40</v>
      </c>
      <c r="K20" s="19">
        <v>41</v>
      </c>
      <c r="L20" s="19">
        <v>44</v>
      </c>
      <c r="M20" s="20">
        <v>47</v>
      </c>
    </row>
    <row r="21" spans="2:13" ht="12.75">
      <c r="B21" s="340" t="s">
        <v>107</v>
      </c>
      <c r="C21" s="342"/>
      <c r="D21" s="19">
        <v>21</v>
      </c>
      <c r="E21" s="19">
        <v>92</v>
      </c>
      <c r="F21" s="89">
        <v>-186</v>
      </c>
      <c r="G21" s="19">
        <v>48</v>
      </c>
      <c r="H21" s="19">
        <v>65</v>
      </c>
      <c r="I21" s="19">
        <v>76</v>
      </c>
      <c r="J21" s="19">
        <v>95</v>
      </c>
      <c r="K21" s="19">
        <v>91</v>
      </c>
      <c r="L21" s="19">
        <v>16</v>
      </c>
      <c r="M21" s="20">
        <v>50</v>
      </c>
    </row>
    <row r="22" spans="2:13" ht="12.75">
      <c r="B22" s="340" t="s">
        <v>108</v>
      </c>
      <c r="C22" s="342"/>
      <c r="D22" s="19">
        <v>7200</v>
      </c>
      <c r="E22" s="19">
        <f>SCINT!E23*-1</f>
        <v>7358.709000000001</v>
      </c>
      <c r="F22" s="89">
        <f>SCINT!F23*-1</f>
        <v>7436.284939000001</v>
      </c>
      <c r="G22" s="19">
        <f>SCINT!G23*-1</f>
        <v>7615.830590769001</v>
      </c>
      <c r="H22" s="19">
        <f>SCINT!H23*-1</f>
        <v>8223.709389423748</v>
      </c>
      <c r="I22" s="19">
        <f>SCINT!I23*-1</f>
        <v>8279.948967889834</v>
      </c>
      <c r="J22" s="19">
        <f>SCINT!J23*-1</f>
        <v>8434.140695946418</v>
      </c>
      <c r="K22" s="19">
        <f>SCINT!K23*-1</f>
        <v>9174.232370127484</v>
      </c>
      <c r="L22" s="19">
        <f>SCINT!L23*-1</f>
        <v>9278.659963167675</v>
      </c>
      <c r="M22" s="20">
        <f>SCINT!M23*-1</f>
        <v>9366.881549071868</v>
      </c>
    </row>
    <row r="23" spans="2:13" ht="12.75">
      <c r="B23" s="338" t="s">
        <v>30</v>
      </c>
      <c r="C23" s="339"/>
      <c r="D23" s="27">
        <f aca="true" t="shared" si="2" ref="D23:M23">SUM(D19:D22)</f>
        <v>7160</v>
      </c>
      <c r="E23" s="27">
        <f t="shared" si="2"/>
        <v>6609.709000000001</v>
      </c>
      <c r="F23" s="211">
        <f t="shared" si="2"/>
        <v>6537.284939000001</v>
      </c>
      <c r="G23" s="27">
        <f t="shared" si="2"/>
        <v>7682.830590769001</v>
      </c>
      <c r="H23" s="27">
        <f t="shared" si="2"/>
        <v>8314.709389423748</v>
      </c>
      <c r="I23" s="27">
        <f t="shared" si="2"/>
        <v>8390.948967889834</v>
      </c>
      <c r="J23" s="27">
        <f t="shared" si="2"/>
        <v>8574.140695946418</v>
      </c>
      <c r="K23" s="27">
        <f t="shared" si="2"/>
        <v>9321.232370127484</v>
      </c>
      <c r="L23" s="27">
        <f t="shared" si="2"/>
        <v>9342.659963167675</v>
      </c>
      <c r="M23" s="28">
        <f t="shared" si="2"/>
        <v>9458.881549071868</v>
      </c>
    </row>
    <row r="24" spans="2:13" ht="13.5" thickBot="1">
      <c r="B24" s="329"/>
      <c r="C24" s="330"/>
      <c r="D24" s="152"/>
      <c r="E24" s="152"/>
      <c r="F24" s="213"/>
      <c r="G24" s="152"/>
      <c r="H24" s="152"/>
      <c r="I24" s="152"/>
      <c r="J24" s="152"/>
      <c r="K24" s="152"/>
      <c r="L24" s="152"/>
      <c r="M24" s="153"/>
    </row>
    <row r="25" spans="2:13" ht="12.75">
      <c r="B25" s="359" t="s">
        <v>135</v>
      </c>
      <c r="C25" s="360"/>
      <c r="D25" s="287"/>
      <c r="E25" s="287"/>
      <c r="F25" s="287"/>
      <c r="G25" s="287"/>
      <c r="H25" s="287"/>
      <c r="I25" s="287"/>
      <c r="J25" s="287"/>
      <c r="K25" s="287"/>
      <c r="L25" s="287"/>
      <c r="M25" s="288"/>
    </row>
    <row r="26" spans="2:13" ht="12.75">
      <c r="B26" s="340" t="s">
        <v>109</v>
      </c>
      <c r="C26" s="337"/>
      <c r="D26" s="19">
        <v>-3421</v>
      </c>
      <c r="E26" s="19">
        <f>'Cap Wks'!F11*-1</f>
        <v>-1250</v>
      </c>
      <c r="F26" s="89"/>
      <c r="G26" s="19"/>
      <c r="H26" s="19"/>
      <c r="I26" s="19"/>
      <c r="J26" s="19"/>
      <c r="K26" s="19"/>
      <c r="L26" s="19"/>
      <c r="M26" s="20"/>
    </row>
    <row r="27" spans="2:13" ht="12.75">
      <c r="B27" s="340" t="s">
        <v>116</v>
      </c>
      <c r="C27" s="342"/>
      <c r="D27" s="19">
        <v>-829</v>
      </c>
      <c r="E27" s="19">
        <f>('Cap Wks'!F12+'Cap Wks'!F14)*-1</f>
        <v>-900</v>
      </c>
      <c r="F27" s="89">
        <f>'Cap Wks'!G15*-1</f>
        <v>-1950</v>
      </c>
      <c r="G27" s="19">
        <f>'Cap Wks'!H15*-1</f>
        <v>-2075</v>
      </c>
      <c r="H27" s="19">
        <f>'Cap Wks'!I15*-1</f>
        <v>-2550</v>
      </c>
      <c r="I27" s="19">
        <f>'Cap Wks'!J15*-1</f>
        <v>-5700</v>
      </c>
      <c r="J27" s="19">
        <f>'Cap Wks'!K15*-1</f>
        <v>-6700</v>
      </c>
      <c r="K27" s="19">
        <f>'Cap Wks'!L15*-1</f>
        <v>-3550</v>
      </c>
      <c r="L27" s="19">
        <f>'Cap Wks'!M15*-1</f>
        <v>-3425</v>
      </c>
      <c r="M27" s="20">
        <f>'Cap Wks'!N15*-1</f>
        <v>-3450</v>
      </c>
    </row>
    <row r="28" spans="2:13" ht="12.75">
      <c r="B28" s="340" t="s">
        <v>127</v>
      </c>
      <c r="C28" s="342"/>
      <c r="D28" s="19">
        <v>-8334</v>
      </c>
      <c r="E28" s="19">
        <f>'Cap Wks'!F57*-1</f>
        <v>-7543.82</v>
      </c>
      <c r="F28" s="89">
        <f>'Cap Wks'!G57*-1</f>
        <v>-7948.1346</v>
      </c>
      <c r="G28" s="19">
        <f>'Cap Wks'!H57*-1</f>
        <v>-8357.078638</v>
      </c>
      <c r="H28" s="19">
        <f>'Cap Wks'!I57*-1</f>
        <v>-6038.188566100001</v>
      </c>
      <c r="I28" s="19">
        <f>'Cap Wks'!J57*-1</f>
        <v>-6416.834223083</v>
      </c>
      <c r="J28" s="19">
        <f>'Cap Wks'!K57*-1</f>
        <v>-6799.33924977549</v>
      </c>
      <c r="K28" s="19">
        <f>'Cap Wks'!L57*-1</f>
        <v>-7185.819427268756</v>
      </c>
      <c r="L28" s="19">
        <f>'Cap Wks'!M57*-1</f>
        <v>-7576.3940100868185</v>
      </c>
      <c r="M28" s="20">
        <f>'Cap Wks'!N57*-1</f>
        <v>-7721.185830389423</v>
      </c>
    </row>
    <row r="29" spans="2:13" ht="12.75">
      <c r="B29" s="48" t="s">
        <v>128</v>
      </c>
      <c r="C29" s="49"/>
      <c r="D29" s="19">
        <v>-1357</v>
      </c>
      <c r="E29" s="19">
        <f>'Cap Wks'!F66*-1</f>
        <v>-1450</v>
      </c>
      <c r="F29" s="89">
        <f>'Cap Wks'!G66*-1</f>
        <v>-1550</v>
      </c>
      <c r="G29" s="19">
        <f>'Cap Wks'!H66*-1</f>
        <v>-1600</v>
      </c>
      <c r="H29" s="19">
        <f>'Cap Wks'!I66*-1</f>
        <v>-750</v>
      </c>
      <c r="I29" s="19">
        <f>'Cap Wks'!J66*-1</f>
        <v>-750</v>
      </c>
      <c r="J29" s="19">
        <f>'Cap Wks'!K66*-1</f>
        <v>-800</v>
      </c>
      <c r="K29" s="19">
        <f>'Cap Wks'!L66*-1</f>
        <v>-800</v>
      </c>
      <c r="L29" s="19">
        <f>'Cap Wks'!M66*-1</f>
        <v>-850</v>
      </c>
      <c r="M29" s="20">
        <f>'Cap Wks'!N66*-1</f>
        <v>-850</v>
      </c>
    </row>
    <row r="30" spans="2:13" ht="12.75">
      <c r="B30" s="48" t="s">
        <v>129</v>
      </c>
      <c r="C30" s="49"/>
      <c r="D30" s="19">
        <v>-1499</v>
      </c>
      <c r="E30" s="19">
        <f>'Cap Wks'!F35*-1-'Cap Wks'!F24</f>
        <v>-634</v>
      </c>
      <c r="F30" s="89">
        <f>'Cap Wks'!G35*-1</f>
        <v>-640</v>
      </c>
      <c r="G30" s="19">
        <f>'Cap Wks'!H35*-1</f>
        <v>-1370</v>
      </c>
      <c r="H30" s="19">
        <f>'Cap Wks'!I35*-1</f>
        <v>-840</v>
      </c>
      <c r="I30" s="19">
        <f>'Cap Wks'!J35*-1</f>
        <v>-760</v>
      </c>
      <c r="J30" s="19">
        <f>'Cap Wks'!K35*-1</f>
        <v>-1095</v>
      </c>
      <c r="K30" s="19">
        <f>'Cap Wks'!L35*-1</f>
        <v>-1250</v>
      </c>
      <c r="L30" s="19">
        <f>'Cap Wks'!M35*-1</f>
        <v>-615</v>
      </c>
      <c r="M30" s="20">
        <f>'Cap Wks'!N35*-1</f>
        <v>-1420</v>
      </c>
    </row>
    <row r="31" spans="2:13" ht="12.75">
      <c r="B31" s="48" t="s">
        <v>130</v>
      </c>
      <c r="C31" s="49"/>
      <c r="D31" s="19">
        <v>-20</v>
      </c>
      <c r="E31" s="19">
        <f>'Cap Wks'!F42*-1</f>
        <v>-80</v>
      </c>
      <c r="F31" s="89">
        <f>'Cap Wks'!G42*-1</f>
        <v>-90</v>
      </c>
      <c r="G31" s="89">
        <f>'Cap Wks'!H42*-1-'Cap Wks'!H24</f>
        <v>-720</v>
      </c>
      <c r="H31" s="89">
        <f>'Cap Wks'!I42*-1-'Cap Wks'!I24</f>
        <v>-385</v>
      </c>
      <c r="I31" s="89">
        <f>'Cap Wks'!J42*-1-'Cap Wks'!J24</f>
        <v>-370</v>
      </c>
      <c r="J31" s="89">
        <f>'Cap Wks'!K42*-1-'Cap Wks'!K24</f>
        <v>-395</v>
      </c>
      <c r="K31" s="89">
        <f>'Cap Wks'!L42*-1-'Cap Wks'!L24</f>
        <v>-955</v>
      </c>
      <c r="L31" s="89">
        <f>'Cap Wks'!M42*-1-'Cap Wks'!M24</f>
        <v>-405</v>
      </c>
      <c r="M31" s="20">
        <f>'Cap Wks'!N42*-1-'Cap Wks'!N24</f>
        <v>-415</v>
      </c>
    </row>
    <row r="32" spans="2:13" ht="12.75">
      <c r="B32" s="48" t="s">
        <v>131</v>
      </c>
      <c r="C32" s="49"/>
      <c r="D32" s="89">
        <f>'Cap Wks'!E70</f>
        <v>602</v>
      </c>
      <c r="E32" s="19">
        <f>'Cap Wks'!F70</f>
        <v>3195</v>
      </c>
      <c r="F32" s="89">
        <f>'Cap Wks'!G70</f>
        <v>3450</v>
      </c>
      <c r="G32" s="19">
        <f>'Cap Wks'!H70</f>
        <v>345</v>
      </c>
      <c r="H32" s="19">
        <f>'Cap Wks'!I70</f>
        <v>400</v>
      </c>
      <c r="I32" s="19">
        <f>'Cap Wks'!J70</f>
        <v>235</v>
      </c>
      <c r="J32" s="19">
        <f>'Cap Wks'!K70</f>
        <v>395</v>
      </c>
      <c r="K32" s="19">
        <f>'Cap Wks'!L70</f>
        <v>320</v>
      </c>
      <c r="L32" s="19">
        <f>'Cap Wks'!M70</f>
        <v>288</v>
      </c>
      <c r="M32" s="20">
        <f>'Cap Wks'!N70</f>
        <v>410</v>
      </c>
    </row>
    <row r="33" spans="2:13" ht="12.75">
      <c r="B33" s="48" t="s">
        <v>57</v>
      </c>
      <c r="C33" s="49"/>
      <c r="D33" s="19">
        <v>-84</v>
      </c>
      <c r="E33" s="19">
        <f>Loans!E82*-1</f>
        <v>-128</v>
      </c>
      <c r="F33" s="89">
        <f>Loans!F82*-1</f>
        <v>-138</v>
      </c>
      <c r="G33" s="19">
        <f>Loans!G82*-1</f>
        <v>-135</v>
      </c>
      <c r="H33" s="19">
        <f>Loans!H82*-1</f>
        <v>-144</v>
      </c>
      <c r="I33" s="19">
        <f>Loans!I82*-1</f>
        <v>-162</v>
      </c>
      <c r="J33" s="19">
        <f>Loans!J82*-1</f>
        <v>-195</v>
      </c>
      <c r="K33" s="19">
        <f>Loans!K82*-1</f>
        <v>-221</v>
      </c>
      <c r="L33" s="19">
        <f>Loans!L82*-1</f>
        <v>-168</v>
      </c>
      <c r="M33" s="20">
        <f>Loans!M82*-1</f>
        <v>-147</v>
      </c>
    </row>
    <row r="34" spans="2:13" ht="12.75">
      <c r="B34" s="48" t="s">
        <v>110</v>
      </c>
      <c r="C34" s="49"/>
      <c r="D34" s="19">
        <v>320</v>
      </c>
      <c r="E34" s="19">
        <v>0</v>
      </c>
      <c r="F34" s="89">
        <v>0</v>
      </c>
      <c r="G34" s="19">
        <v>0</v>
      </c>
      <c r="H34" s="19">
        <v>0</v>
      </c>
      <c r="I34" s="19">
        <v>500</v>
      </c>
      <c r="J34" s="19">
        <v>1000</v>
      </c>
      <c r="K34" s="19">
        <v>0</v>
      </c>
      <c r="L34" s="19">
        <v>0</v>
      </c>
      <c r="M34" s="20">
        <v>0</v>
      </c>
    </row>
    <row r="35" spans="2:13" ht="12.75">
      <c r="B35" s="48" t="s">
        <v>132</v>
      </c>
      <c r="C35" s="49"/>
      <c r="D35" s="19">
        <v>25</v>
      </c>
      <c r="E35" s="19">
        <f>Loans!E51</f>
        <v>39</v>
      </c>
      <c r="F35" s="89">
        <f>Loans!F51</f>
        <v>43</v>
      </c>
      <c r="G35" s="19">
        <f>Loans!G51</f>
        <v>33</v>
      </c>
      <c r="H35" s="19">
        <f>Loans!H51</f>
        <v>36</v>
      </c>
      <c r="I35" s="19">
        <f>Loans!I51</f>
        <v>39</v>
      </c>
      <c r="J35" s="19">
        <f>Loans!J51</f>
        <v>42</v>
      </c>
      <c r="K35" s="19">
        <f>Loans!K51</f>
        <v>45</v>
      </c>
      <c r="L35" s="19">
        <f>Loans!L51</f>
        <v>39</v>
      </c>
      <c r="M35" s="20">
        <f>Loans!M51</f>
        <v>11</v>
      </c>
    </row>
    <row r="36" spans="2:14" ht="12.75">
      <c r="B36" s="48" t="s">
        <v>133</v>
      </c>
      <c r="C36" s="49"/>
      <c r="D36" s="19">
        <v>-2167</v>
      </c>
      <c r="E36" s="19">
        <f>-5250+95</f>
        <v>-5155</v>
      </c>
      <c r="F36" s="89">
        <f>-6000+195</f>
        <v>-5805</v>
      </c>
      <c r="G36" s="19">
        <f>-3000+300</f>
        <v>-2700</v>
      </c>
      <c r="H36" s="19">
        <f>-3250+420</f>
        <v>-2830</v>
      </c>
      <c r="I36" s="19">
        <f>-2750+545</f>
        <v>-2205</v>
      </c>
      <c r="J36" s="19">
        <f>-2350+675</f>
        <v>-1675</v>
      </c>
      <c r="K36" s="19">
        <f>-2350+815</f>
        <v>-1535</v>
      </c>
      <c r="L36" s="19">
        <f>-2950+965</f>
        <v>-1985</v>
      </c>
      <c r="M36" s="20">
        <f>-2700+1125</f>
        <v>-1575</v>
      </c>
      <c r="N36" s="164"/>
    </row>
    <row r="37" spans="2:14" ht="12.75">
      <c r="B37" s="48" t="s">
        <v>134</v>
      </c>
      <c r="C37" s="49"/>
      <c r="D37" s="19">
        <v>1740</v>
      </c>
      <c r="E37" s="19">
        <v>650</v>
      </c>
      <c r="F37" s="89">
        <v>1000</v>
      </c>
      <c r="G37" s="19">
        <v>1900</v>
      </c>
      <c r="H37" s="19">
        <v>600</v>
      </c>
      <c r="I37" s="19">
        <v>2900</v>
      </c>
      <c r="J37" s="19">
        <v>3000</v>
      </c>
      <c r="K37" s="19">
        <v>1700</v>
      </c>
      <c r="L37" s="19">
        <v>1000</v>
      </c>
      <c r="M37" s="20">
        <v>1000</v>
      </c>
      <c r="N37" s="164"/>
    </row>
    <row r="38" spans="2:13" ht="12.75">
      <c r="B38" s="338" t="s">
        <v>136</v>
      </c>
      <c r="C38" s="339"/>
      <c r="D38" s="27">
        <f aca="true" t="shared" si="3" ref="D38:M38">SUM(D26:D37)</f>
        <v>-15024</v>
      </c>
      <c r="E38" s="27">
        <f t="shared" si="3"/>
        <v>-13256.82</v>
      </c>
      <c r="F38" s="211">
        <f t="shared" si="3"/>
        <v>-13628.134600000001</v>
      </c>
      <c r="G38" s="27">
        <f t="shared" si="3"/>
        <v>-14679.078637999999</v>
      </c>
      <c r="H38" s="27">
        <f t="shared" si="3"/>
        <v>-12501.188566100001</v>
      </c>
      <c r="I38" s="27">
        <f t="shared" si="3"/>
        <v>-12689.834223083</v>
      </c>
      <c r="J38" s="27">
        <f t="shared" si="3"/>
        <v>-13222.33924977549</v>
      </c>
      <c r="K38" s="27">
        <f t="shared" si="3"/>
        <v>-13431.819427268756</v>
      </c>
      <c r="L38" s="27">
        <f t="shared" si="3"/>
        <v>-13697.394010086819</v>
      </c>
      <c r="M38" s="28">
        <f t="shared" si="3"/>
        <v>-14157.185830389422</v>
      </c>
    </row>
    <row r="39" spans="2:13" ht="12.75">
      <c r="B39" s="338"/>
      <c r="C39" s="355"/>
      <c r="D39" s="19"/>
      <c r="E39" s="19"/>
      <c r="F39" s="89"/>
      <c r="G39" s="19"/>
      <c r="H39" s="19"/>
      <c r="I39" s="19"/>
      <c r="J39" s="19"/>
      <c r="K39" s="19"/>
      <c r="L39" s="19"/>
      <c r="M39" s="30"/>
    </row>
    <row r="40" spans="2:13" ht="12.75">
      <c r="B40" s="361" t="s">
        <v>111</v>
      </c>
      <c r="C40" s="342"/>
      <c r="D40" s="33">
        <f>SFPBS!D68</f>
        <v>1164</v>
      </c>
      <c r="E40" s="33">
        <f>D41</f>
        <v>52</v>
      </c>
      <c r="F40" s="33">
        <f aca="true" t="shared" si="4" ref="F40:M40">E41</f>
        <v>8.580000000002201</v>
      </c>
      <c r="G40" s="33">
        <f t="shared" si="4"/>
        <v>80.42250000000035</v>
      </c>
      <c r="H40" s="33">
        <f t="shared" si="4"/>
        <v>200.3342619999978</v>
      </c>
      <c r="I40" s="33">
        <f t="shared" si="4"/>
        <v>350.48680912187615</v>
      </c>
      <c r="J40" s="33">
        <f t="shared" si="4"/>
        <v>561.1473582388753</v>
      </c>
      <c r="K40" s="33">
        <f t="shared" si="4"/>
        <v>693.7099638540137</v>
      </c>
      <c r="L40" s="33">
        <f t="shared" si="4"/>
        <v>846.7659438481062</v>
      </c>
      <c r="M40" s="34">
        <f t="shared" si="4"/>
        <v>1011.314632512516</v>
      </c>
    </row>
    <row r="41" spans="2:13" ht="12.75">
      <c r="B41" s="361" t="s">
        <v>112</v>
      </c>
      <c r="C41" s="342"/>
      <c r="D41" s="33">
        <f>SFPBS!E68</f>
        <v>52</v>
      </c>
      <c r="E41" s="33">
        <f>SFPBS!F68</f>
        <v>8.580000000002201</v>
      </c>
      <c r="F41" s="33">
        <f>SFPBS!G68</f>
        <v>80.42250000000035</v>
      </c>
      <c r="G41" s="33">
        <f>SFPBS!H68-1</f>
        <v>200.3342619999978</v>
      </c>
      <c r="H41" s="33">
        <f>SFPBS!I68-1</f>
        <v>350.48680912187615</v>
      </c>
      <c r="I41" s="33">
        <f>SFPBS!J68</f>
        <v>561.1473582388753</v>
      </c>
      <c r="J41" s="33">
        <f>SFPBS!K68</f>
        <v>693.7099638540137</v>
      </c>
      <c r="K41" s="33">
        <f>SFPBS!L68</f>
        <v>846.7659438481062</v>
      </c>
      <c r="L41" s="33">
        <f>SFPBS!M68</f>
        <v>1011.314632512516</v>
      </c>
      <c r="M41" s="34">
        <f>SFPBS!N68</f>
        <v>1162.2054151723369</v>
      </c>
    </row>
    <row r="42" spans="2:13" ht="12.75">
      <c r="B42" s="50"/>
      <c r="C42" s="43"/>
      <c r="D42" s="33"/>
      <c r="E42" s="33"/>
      <c r="F42" s="205"/>
      <c r="G42" s="33"/>
      <c r="H42" s="33"/>
      <c r="I42" s="33"/>
      <c r="J42" s="33"/>
      <c r="K42" s="33"/>
      <c r="L42" s="33"/>
      <c r="M42" s="34"/>
    </row>
    <row r="43" spans="2:13" ht="13.5" thickBot="1">
      <c r="B43" s="370" t="s">
        <v>347</v>
      </c>
      <c r="C43" s="371"/>
      <c r="D43" s="278">
        <f aca="true" t="shared" si="5" ref="D43:M43">D16+D23+D38+D40-D41</f>
        <v>0</v>
      </c>
      <c r="E43" s="278">
        <f t="shared" si="5"/>
        <v>0.3089999999988322</v>
      </c>
      <c r="F43" s="278">
        <f t="shared" si="5"/>
        <v>0.7290390000023308</v>
      </c>
      <c r="G43" s="278">
        <f t="shared" si="5"/>
        <v>0.22793476900415044</v>
      </c>
      <c r="H43" s="278">
        <f t="shared" si="5"/>
        <v>-0.6317237981320432</v>
      </c>
      <c r="I43" s="278">
        <f t="shared" si="5"/>
        <v>-0.5458043101659769</v>
      </c>
      <c r="J43" s="278">
        <f t="shared" si="5"/>
        <v>0.2388405557896931</v>
      </c>
      <c r="K43" s="278">
        <f t="shared" si="5"/>
        <v>0.3569628646350793</v>
      </c>
      <c r="L43" s="278">
        <f t="shared" si="5"/>
        <v>-0.2827355835538583</v>
      </c>
      <c r="M43" s="279">
        <f t="shared" si="5"/>
        <v>0.8049360226248155</v>
      </c>
    </row>
    <row r="46" spans="4:13" ht="12.75">
      <c r="D46" s="164"/>
      <c r="E46" s="164"/>
      <c r="F46" s="216"/>
      <c r="G46" s="216"/>
      <c r="H46" s="216"/>
      <c r="I46" s="216"/>
      <c r="J46" s="164"/>
      <c r="K46" s="164"/>
      <c r="L46" s="164"/>
      <c r="M46" s="164"/>
    </row>
    <row r="48" spans="5:14" ht="12.75">
      <c r="E48" s="33"/>
      <c r="F48" s="205"/>
      <c r="G48" s="205"/>
      <c r="H48" s="205"/>
      <c r="I48" s="205"/>
      <c r="J48" s="33"/>
      <c r="K48" s="33"/>
      <c r="L48" s="33"/>
      <c r="M48" s="33"/>
      <c r="N48" s="43"/>
    </row>
    <row r="50" spans="6:13" ht="12.75">
      <c r="F50" s="216"/>
      <c r="G50" s="216"/>
      <c r="H50" s="216"/>
      <c r="I50" s="216"/>
      <c r="J50" s="164"/>
      <c r="K50" s="164"/>
      <c r="L50" s="164"/>
      <c r="M50" s="164"/>
    </row>
  </sheetData>
  <mergeCells count="28">
    <mergeCell ref="B8:C8"/>
    <mergeCell ref="B43:C43"/>
    <mergeCell ref="B15:C15"/>
    <mergeCell ref="B16:C16"/>
    <mergeCell ref="B17:C17"/>
    <mergeCell ref="B23:C23"/>
    <mergeCell ref="B41:C41"/>
    <mergeCell ref="B40:C40"/>
    <mergeCell ref="B25:C25"/>
    <mergeCell ref="B26:C26"/>
    <mergeCell ref="B2:M2"/>
    <mergeCell ref="B3:M3"/>
    <mergeCell ref="B4:M4"/>
    <mergeCell ref="B7:C7"/>
    <mergeCell ref="B38:C38"/>
    <mergeCell ref="B39:C39"/>
    <mergeCell ref="B11:C11"/>
    <mergeCell ref="B20:C20"/>
    <mergeCell ref="B21:C21"/>
    <mergeCell ref="B22:C22"/>
    <mergeCell ref="B24:C24"/>
    <mergeCell ref="B27:C27"/>
    <mergeCell ref="B28:C28"/>
    <mergeCell ref="B10:C10"/>
    <mergeCell ref="B13:C13"/>
    <mergeCell ref="B19:C19"/>
    <mergeCell ref="B18:C18"/>
    <mergeCell ref="B14:C1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N78"/>
  <sheetViews>
    <sheetView showGridLines="0" zoomScale="115" zoomScaleNormal="115" zoomScaleSheetLayoutView="100" workbookViewId="0" topLeftCell="A1">
      <selection activeCell="B2" sqref="B2:N2"/>
    </sheetView>
  </sheetViews>
  <sheetFormatPr defaultColWidth="9.140625" defaultRowHeight="12.75"/>
  <cols>
    <col min="1" max="1" width="5.28125" style="0" customWidth="1"/>
    <col min="2" max="2" width="6.7109375" style="0" customWidth="1"/>
    <col min="3" max="3" width="8.28125" style="0" customWidth="1"/>
    <col min="4" max="4" width="27.28125" style="0" customWidth="1"/>
    <col min="5" max="14" width="11.00390625" style="0" customWidth="1"/>
  </cols>
  <sheetData>
    <row r="1" ht="13.5" thickBot="1"/>
    <row r="2" spans="2:14" ht="23.25">
      <c r="B2" s="343" t="s">
        <v>352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5"/>
    </row>
    <row r="3" spans="2:14" ht="21">
      <c r="B3" s="346" t="s">
        <v>89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8"/>
    </row>
    <row r="4" spans="2:14" ht="16.5" thickBot="1">
      <c r="B4" s="349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1"/>
    </row>
    <row r="5" spans="2:14" ht="12.75">
      <c r="B5" s="11"/>
      <c r="C5" s="12"/>
      <c r="D5" s="12"/>
      <c r="E5" s="9" t="s">
        <v>0</v>
      </c>
      <c r="F5" s="9" t="s">
        <v>1</v>
      </c>
      <c r="G5" s="9" t="s">
        <v>2</v>
      </c>
      <c r="H5" s="9" t="s">
        <v>3</v>
      </c>
      <c r="I5" s="9" t="s">
        <v>4</v>
      </c>
      <c r="J5" s="9" t="s">
        <v>5</v>
      </c>
      <c r="K5" s="9" t="s">
        <v>6</v>
      </c>
      <c r="L5" s="9" t="s">
        <v>7</v>
      </c>
      <c r="M5" s="9" t="s">
        <v>8</v>
      </c>
      <c r="N5" s="10" t="s">
        <v>9</v>
      </c>
    </row>
    <row r="6" spans="2:14" ht="13.5" thickBot="1">
      <c r="B6" s="13"/>
      <c r="C6" s="14"/>
      <c r="D6" s="14"/>
      <c r="E6" s="15" t="s">
        <v>119</v>
      </c>
      <c r="F6" s="15" t="s">
        <v>119</v>
      </c>
      <c r="G6" s="15" t="s">
        <v>119</v>
      </c>
      <c r="H6" s="15" t="s">
        <v>119</v>
      </c>
      <c r="I6" s="15" t="s">
        <v>119</v>
      </c>
      <c r="J6" s="15" t="s">
        <v>119</v>
      </c>
      <c r="K6" s="15" t="s">
        <v>119</v>
      </c>
      <c r="L6" s="15" t="s">
        <v>119</v>
      </c>
      <c r="M6" s="15" t="s">
        <v>119</v>
      </c>
      <c r="N6" s="16" t="s">
        <v>119</v>
      </c>
    </row>
    <row r="7" spans="2:14" ht="12.75">
      <c r="B7" s="299"/>
      <c r="C7" s="284"/>
      <c r="D7" s="300" t="s">
        <v>90</v>
      </c>
      <c r="E7" s="281"/>
      <c r="F7" s="281"/>
      <c r="G7" s="281"/>
      <c r="H7" s="281"/>
      <c r="I7" s="281"/>
      <c r="J7" s="281"/>
      <c r="K7" s="281"/>
      <c r="L7" s="281"/>
      <c r="M7" s="281"/>
      <c r="N7" s="282"/>
    </row>
    <row r="8" spans="2:14" ht="12.75">
      <c r="B8" s="301"/>
      <c r="C8" s="302"/>
      <c r="D8" s="302"/>
      <c r="E8" s="284"/>
      <c r="F8" s="284"/>
      <c r="G8" s="284"/>
      <c r="H8" s="284"/>
      <c r="I8" s="284"/>
      <c r="J8" s="284"/>
      <c r="K8" s="284"/>
      <c r="L8" s="284"/>
      <c r="M8" s="284"/>
      <c r="N8" s="285"/>
    </row>
    <row r="9" spans="2:14" ht="12.75">
      <c r="B9" s="303" t="s">
        <v>162</v>
      </c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5"/>
    </row>
    <row r="10" spans="2:14" ht="12.75">
      <c r="B10" s="98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100"/>
    </row>
    <row r="11" spans="2:14" ht="12.75">
      <c r="B11" s="44" t="s">
        <v>163</v>
      </c>
      <c r="C11" s="45"/>
      <c r="D11" s="45"/>
      <c r="E11" s="103">
        <v>3421</v>
      </c>
      <c r="F11" s="104">
        <v>1250</v>
      </c>
      <c r="G11" s="105"/>
      <c r="H11" s="105">
        <v>75</v>
      </c>
      <c r="I11" s="105">
        <v>400</v>
      </c>
      <c r="J11" s="105">
        <v>300</v>
      </c>
      <c r="K11" s="105">
        <v>100</v>
      </c>
      <c r="L11" s="105">
        <v>500</v>
      </c>
      <c r="M11" s="105">
        <v>275</v>
      </c>
      <c r="N11" s="106">
        <v>300</v>
      </c>
    </row>
    <row r="12" spans="2:14" ht="12.75">
      <c r="B12" s="44" t="s">
        <v>215</v>
      </c>
      <c r="C12" s="99"/>
      <c r="D12" s="99"/>
      <c r="E12" s="104">
        <v>570</v>
      </c>
      <c r="F12" s="105">
        <v>600</v>
      </c>
      <c r="G12" s="105">
        <v>700</v>
      </c>
      <c r="H12" s="105">
        <v>750</v>
      </c>
      <c r="I12" s="105">
        <v>800</v>
      </c>
      <c r="J12" s="105">
        <v>850</v>
      </c>
      <c r="K12" s="105">
        <v>1500</v>
      </c>
      <c r="L12" s="105">
        <v>1500</v>
      </c>
      <c r="M12" s="105">
        <v>1500</v>
      </c>
      <c r="N12" s="106">
        <v>1500</v>
      </c>
    </row>
    <row r="13" spans="2:14" ht="12.75">
      <c r="B13" s="101" t="s">
        <v>213</v>
      </c>
      <c r="C13" s="99"/>
      <c r="D13" s="99"/>
      <c r="E13" s="102"/>
      <c r="F13" s="105"/>
      <c r="G13" s="105">
        <v>500</v>
      </c>
      <c r="H13" s="105">
        <v>500</v>
      </c>
      <c r="I13" s="83">
        <v>550</v>
      </c>
      <c r="J13" s="105">
        <v>550</v>
      </c>
      <c r="K13" s="105">
        <v>600</v>
      </c>
      <c r="L13" s="105">
        <v>600</v>
      </c>
      <c r="M13" s="105">
        <v>650</v>
      </c>
      <c r="N13" s="106">
        <v>650</v>
      </c>
    </row>
    <row r="14" spans="2:14" ht="13.5" thickBot="1">
      <c r="B14" s="44" t="s">
        <v>214</v>
      </c>
      <c r="C14" s="99"/>
      <c r="D14" s="99"/>
      <c r="E14" s="104">
        <v>259</v>
      </c>
      <c r="F14" s="105">
        <v>300</v>
      </c>
      <c r="G14" s="105">
        <v>750</v>
      </c>
      <c r="H14" s="105">
        <v>750</v>
      </c>
      <c r="I14" s="105">
        <v>800</v>
      </c>
      <c r="J14" s="105">
        <v>4000</v>
      </c>
      <c r="K14" s="105">
        <v>4500</v>
      </c>
      <c r="L14" s="105">
        <v>950</v>
      </c>
      <c r="M14" s="105">
        <v>1000</v>
      </c>
      <c r="N14" s="106">
        <v>1000</v>
      </c>
    </row>
    <row r="15" spans="2:14" s="88" customFormat="1" ht="12.75">
      <c r="B15" s="86" t="s">
        <v>164</v>
      </c>
      <c r="C15" s="87"/>
      <c r="D15" s="87"/>
      <c r="E15" s="73">
        <f aca="true" t="shared" si="0" ref="E15:N15">SUM(E11:E14)</f>
        <v>4250</v>
      </c>
      <c r="F15" s="73">
        <f t="shared" si="0"/>
        <v>2150</v>
      </c>
      <c r="G15" s="73">
        <f t="shared" si="0"/>
        <v>1950</v>
      </c>
      <c r="H15" s="73">
        <f t="shared" si="0"/>
        <v>2075</v>
      </c>
      <c r="I15" s="73">
        <f t="shared" si="0"/>
        <v>2550</v>
      </c>
      <c r="J15" s="73">
        <f t="shared" si="0"/>
        <v>5700</v>
      </c>
      <c r="K15" s="73">
        <f t="shared" si="0"/>
        <v>6700</v>
      </c>
      <c r="L15" s="73">
        <f t="shared" si="0"/>
        <v>3550</v>
      </c>
      <c r="M15" s="73">
        <f t="shared" si="0"/>
        <v>3425</v>
      </c>
      <c r="N15" s="74">
        <f t="shared" si="0"/>
        <v>3450</v>
      </c>
    </row>
    <row r="16" spans="2:14" s="88" customFormat="1" ht="12.75">
      <c r="B16" s="86"/>
      <c r="C16" s="87"/>
      <c r="D16" s="87"/>
      <c r="E16" s="64"/>
      <c r="F16" s="64"/>
      <c r="G16" s="64"/>
      <c r="H16" s="64"/>
      <c r="I16" s="64"/>
      <c r="J16" s="64"/>
      <c r="K16" s="64"/>
      <c r="L16" s="64"/>
      <c r="M16" s="64"/>
      <c r="N16" s="65"/>
    </row>
    <row r="17" spans="2:14" s="88" customFormat="1" ht="12.75">
      <c r="B17" s="86" t="s">
        <v>216</v>
      </c>
      <c r="C17" s="87"/>
      <c r="D17" s="87"/>
      <c r="E17" s="274">
        <v>360</v>
      </c>
      <c r="F17" s="64">
        <v>3000</v>
      </c>
      <c r="G17" s="64">
        <v>3250</v>
      </c>
      <c r="H17" s="64"/>
      <c r="I17" s="64"/>
      <c r="J17" s="64"/>
      <c r="K17" s="64"/>
      <c r="L17" s="64"/>
      <c r="M17" s="64"/>
      <c r="N17" s="65"/>
    </row>
    <row r="18" spans="2:14" s="88" customFormat="1" ht="12.75">
      <c r="B18" s="86" t="s">
        <v>207</v>
      </c>
      <c r="C18" s="87"/>
      <c r="D18" s="87"/>
      <c r="E18" s="274">
        <v>253</v>
      </c>
      <c r="F18" s="64">
        <v>2150</v>
      </c>
      <c r="G18" s="64">
        <v>2521</v>
      </c>
      <c r="H18" s="64"/>
      <c r="I18" s="64"/>
      <c r="J18" s="64"/>
      <c r="K18" s="64"/>
      <c r="L18" s="64"/>
      <c r="M18" s="64"/>
      <c r="N18" s="65"/>
    </row>
    <row r="19" spans="2:14" s="88" customFormat="1" ht="13.5" thickBot="1">
      <c r="B19" s="107" t="s">
        <v>208</v>
      </c>
      <c r="C19" s="108"/>
      <c r="D19" s="108"/>
      <c r="E19" s="218">
        <f>E17-E18</f>
        <v>107</v>
      </c>
      <c r="F19" s="75">
        <f>F17-F18</f>
        <v>850</v>
      </c>
      <c r="G19" s="75">
        <f>G17-G18</f>
        <v>729</v>
      </c>
      <c r="H19" s="75"/>
      <c r="I19" s="75"/>
      <c r="J19" s="75"/>
      <c r="K19" s="75"/>
      <c r="L19" s="75"/>
      <c r="M19" s="75"/>
      <c r="N19" s="76"/>
    </row>
    <row r="20" spans="2:14" s="88" customFormat="1" ht="12.75">
      <c r="B20" s="86"/>
      <c r="C20" s="87"/>
      <c r="D20" s="87"/>
      <c r="E20" s="64"/>
      <c r="F20" s="64"/>
      <c r="G20" s="64"/>
      <c r="H20" s="64"/>
      <c r="I20" s="64"/>
      <c r="J20" s="64"/>
      <c r="K20" s="64"/>
      <c r="L20" s="64"/>
      <c r="M20" s="64"/>
      <c r="N20" s="65"/>
    </row>
    <row r="21" spans="2:14" ht="12.75">
      <c r="B21" s="306" t="s">
        <v>165</v>
      </c>
      <c r="C21" s="307"/>
      <c r="D21" s="307"/>
      <c r="E21" s="308"/>
      <c r="F21" s="308"/>
      <c r="G21" s="308"/>
      <c r="H21" s="308"/>
      <c r="I21" s="308"/>
      <c r="J21" s="308"/>
      <c r="K21" s="308"/>
      <c r="L21" s="308"/>
      <c r="M21" s="308"/>
      <c r="N21" s="309"/>
    </row>
    <row r="22" spans="2:14" ht="12" customHeight="1">
      <c r="B22" s="44" t="s">
        <v>203</v>
      </c>
      <c r="C22" s="45"/>
      <c r="D22" s="45"/>
      <c r="E22" s="2">
        <v>182</v>
      </c>
      <c r="F22" s="2">
        <v>200</v>
      </c>
      <c r="G22" s="2">
        <v>215</v>
      </c>
      <c r="H22" s="2">
        <v>220</v>
      </c>
      <c r="I22" s="2">
        <v>250</v>
      </c>
      <c r="J22" s="2">
        <v>235</v>
      </c>
      <c r="K22" s="2">
        <v>260</v>
      </c>
      <c r="L22" s="2">
        <v>270</v>
      </c>
      <c r="M22" s="2">
        <v>270</v>
      </c>
      <c r="N22" s="7">
        <v>280</v>
      </c>
    </row>
    <row r="23" spans="2:14" ht="13.5" thickBot="1">
      <c r="B23" s="44" t="s">
        <v>204</v>
      </c>
      <c r="C23" s="45"/>
      <c r="D23" s="45"/>
      <c r="E23" s="2">
        <v>29</v>
      </c>
      <c r="F23" s="2">
        <v>34</v>
      </c>
      <c r="G23" s="2">
        <v>30</v>
      </c>
      <c r="H23" s="2">
        <v>0</v>
      </c>
      <c r="I23" s="2">
        <v>35</v>
      </c>
      <c r="J23" s="2">
        <v>35</v>
      </c>
      <c r="K23" s="2">
        <v>35</v>
      </c>
      <c r="L23" s="2">
        <v>35</v>
      </c>
      <c r="M23" s="2">
        <v>35</v>
      </c>
      <c r="N23" s="7">
        <v>35</v>
      </c>
    </row>
    <row r="24" spans="2:14" ht="12.75">
      <c r="B24" s="86" t="s">
        <v>205</v>
      </c>
      <c r="C24" s="45"/>
      <c r="D24" s="45"/>
      <c r="E24" s="73">
        <f aca="true" t="shared" si="1" ref="E24:N24">SUM(E22:E23)</f>
        <v>211</v>
      </c>
      <c r="F24" s="73">
        <f t="shared" si="1"/>
        <v>234</v>
      </c>
      <c r="G24" s="73">
        <f t="shared" si="1"/>
        <v>245</v>
      </c>
      <c r="H24" s="73">
        <f t="shared" si="1"/>
        <v>220</v>
      </c>
      <c r="I24" s="73">
        <f t="shared" si="1"/>
        <v>285</v>
      </c>
      <c r="J24" s="73">
        <f t="shared" si="1"/>
        <v>270</v>
      </c>
      <c r="K24" s="73">
        <f t="shared" si="1"/>
        <v>295</v>
      </c>
      <c r="L24" s="73">
        <f t="shared" si="1"/>
        <v>305</v>
      </c>
      <c r="M24" s="73">
        <f t="shared" si="1"/>
        <v>305</v>
      </c>
      <c r="N24" s="74">
        <f t="shared" si="1"/>
        <v>315</v>
      </c>
    </row>
    <row r="25" spans="2:14" ht="12.75">
      <c r="B25" s="86"/>
      <c r="C25" s="45"/>
      <c r="D25" s="45"/>
      <c r="E25" s="64"/>
      <c r="F25" s="64"/>
      <c r="G25" s="64"/>
      <c r="H25" s="64"/>
      <c r="I25" s="64"/>
      <c r="J25" s="64"/>
      <c r="K25" s="64"/>
      <c r="L25" s="64"/>
      <c r="M25" s="64"/>
      <c r="N25" s="65"/>
    </row>
    <row r="26" spans="2:14" ht="12.75">
      <c r="B26" s="86" t="s">
        <v>206</v>
      </c>
      <c r="C26" s="45"/>
      <c r="D26" s="45"/>
      <c r="E26" s="64">
        <v>132</v>
      </c>
      <c r="F26" s="64">
        <v>150</v>
      </c>
      <c r="G26" s="64">
        <v>170</v>
      </c>
      <c r="H26" s="64">
        <v>170</v>
      </c>
      <c r="I26" s="64">
        <v>295</v>
      </c>
      <c r="J26" s="64">
        <v>190</v>
      </c>
      <c r="K26" s="64">
        <v>215</v>
      </c>
      <c r="L26" s="64">
        <v>215</v>
      </c>
      <c r="M26" s="64">
        <v>213</v>
      </c>
      <c r="N26" s="65">
        <v>230</v>
      </c>
    </row>
    <row r="27" spans="2:14" ht="12.75">
      <c r="B27" s="86" t="s">
        <v>207</v>
      </c>
      <c r="C27" s="45"/>
      <c r="D27" s="45"/>
      <c r="E27" s="64">
        <v>139</v>
      </c>
      <c r="F27" s="64">
        <v>145</v>
      </c>
      <c r="G27" s="64">
        <v>160</v>
      </c>
      <c r="H27" s="64">
        <v>172</v>
      </c>
      <c r="I27" s="64">
        <v>305</v>
      </c>
      <c r="J27" s="64">
        <v>182</v>
      </c>
      <c r="K27" s="64">
        <v>211</v>
      </c>
      <c r="L27" s="64">
        <v>223</v>
      </c>
      <c r="M27" s="64">
        <v>225</v>
      </c>
      <c r="N27" s="65">
        <v>222</v>
      </c>
    </row>
    <row r="28" spans="2:14" ht="13.5" thickBot="1">
      <c r="B28" s="107" t="s">
        <v>208</v>
      </c>
      <c r="C28" s="109"/>
      <c r="D28" s="109"/>
      <c r="E28" s="75">
        <f>E26-E27</f>
        <v>-7</v>
      </c>
      <c r="F28" s="75">
        <f aca="true" t="shared" si="2" ref="F28:N28">F26-F27</f>
        <v>5</v>
      </c>
      <c r="G28" s="75">
        <f t="shared" si="2"/>
        <v>10</v>
      </c>
      <c r="H28" s="75">
        <f t="shared" si="2"/>
        <v>-2</v>
      </c>
      <c r="I28" s="75">
        <f t="shared" si="2"/>
        <v>-10</v>
      </c>
      <c r="J28" s="75">
        <f t="shared" si="2"/>
        <v>8</v>
      </c>
      <c r="K28" s="75">
        <f t="shared" si="2"/>
        <v>4</v>
      </c>
      <c r="L28" s="75">
        <f t="shared" si="2"/>
        <v>-8</v>
      </c>
      <c r="M28" s="75">
        <f t="shared" si="2"/>
        <v>-12</v>
      </c>
      <c r="N28" s="76">
        <f t="shared" si="2"/>
        <v>8</v>
      </c>
    </row>
    <row r="29" spans="2:14" ht="12.75">
      <c r="B29" s="44"/>
      <c r="C29" s="45"/>
      <c r="D29" s="45"/>
      <c r="E29" s="2"/>
      <c r="F29" s="2"/>
      <c r="G29" s="2"/>
      <c r="H29" s="2"/>
      <c r="I29" s="2"/>
      <c r="J29" s="2"/>
      <c r="K29" s="2"/>
      <c r="L29" s="2"/>
      <c r="M29" s="2"/>
      <c r="N29" s="7"/>
    </row>
    <row r="30" spans="2:14" ht="12.75">
      <c r="B30" s="306" t="s">
        <v>166</v>
      </c>
      <c r="C30" s="307"/>
      <c r="D30" s="307"/>
      <c r="E30" s="308"/>
      <c r="F30" s="308"/>
      <c r="G30" s="308"/>
      <c r="H30" s="308"/>
      <c r="I30" s="308"/>
      <c r="J30" s="308"/>
      <c r="K30" s="308"/>
      <c r="L30" s="308"/>
      <c r="M30" s="308"/>
      <c r="N30" s="309"/>
    </row>
    <row r="31" spans="2:14" ht="11.25" customHeight="1">
      <c r="B31" s="44" t="s">
        <v>209</v>
      </c>
      <c r="C31" s="45"/>
      <c r="D31" s="45"/>
      <c r="E31" s="2">
        <v>852</v>
      </c>
      <c r="F31" s="2">
        <v>350</v>
      </c>
      <c r="G31" s="2">
        <v>250</v>
      </c>
      <c r="H31" s="2">
        <v>900</v>
      </c>
      <c r="I31" s="2">
        <v>750</v>
      </c>
      <c r="J31" s="2">
        <v>350</v>
      </c>
      <c r="K31" s="2">
        <v>1000</v>
      </c>
      <c r="L31" s="2">
        <v>750</v>
      </c>
      <c r="M31" s="2">
        <v>500</v>
      </c>
      <c r="N31" s="7">
        <v>1000</v>
      </c>
    </row>
    <row r="32" spans="2:14" ht="11.25" customHeight="1">
      <c r="B32" s="44" t="s">
        <v>210</v>
      </c>
      <c r="C32" s="45"/>
      <c r="D32" s="45"/>
      <c r="E32" s="2">
        <v>33</v>
      </c>
      <c r="F32" s="2">
        <v>35</v>
      </c>
      <c r="G32" s="2">
        <v>40</v>
      </c>
      <c r="H32" s="2">
        <v>30</v>
      </c>
      <c r="I32" s="2">
        <v>40</v>
      </c>
      <c r="J32" s="2">
        <v>40</v>
      </c>
      <c r="K32" s="2">
        <v>45</v>
      </c>
      <c r="L32" s="2">
        <v>40</v>
      </c>
      <c r="M32" s="2">
        <v>45</v>
      </c>
      <c r="N32" s="7">
        <v>50</v>
      </c>
    </row>
    <row r="33" spans="2:14" ht="12.75">
      <c r="B33" s="44" t="s">
        <v>211</v>
      </c>
      <c r="C33" s="45"/>
      <c r="D33" s="45"/>
      <c r="E33" s="2">
        <v>403</v>
      </c>
      <c r="F33" s="2"/>
      <c r="G33" s="2">
        <v>300</v>
      </c>
      <c r="H33" s="2">
        <v>425</v>
      </c>
      <c r="I33" s="2"/>
      <c r="J33" s="2">
        <v>350</v>
      </c>
      <c r="K33" s="2"/>
      <c r="L33" s="2">
        <v>440</v>
      </c>
      <c r="M33" s="2"/>
      <c r="N33" s="7">
        <v>350</v>
      </c>
    </row>
    <row r="34" spans="2:14" ht="13.5" thickBot="1">
      <c r="B34" s="44" t="s">
        <v>212</v>
      </c>
      <c r="C34" s="45"/>
      <c r="D34" s="45"/>
      <c r="E34" s="2"/>
      <c r="F34" s="2">
        <v>15</v>
      </c>
      <c r="G34" s="2">
        <v>50</v>
      </c>
      <c r="H34" s="2">
        <v>15</v>
      </c>
      <c r="I34" s="2">
        <v>50</v>
      </c>
      <c r="J34" s="2">
        <v>20</v>
      </c>
      <c r="K34" s="2">
        <v>50</v>
      </c>
      <c r="L34" s="2">
        <v>20</v>
      </c>
      <c r="M34" s="2">
        <v>70</v>
      </c>
      <c r="N34" s="7">
        <v>20</v>
      </c>
    </row>
    <row r="35" spans="2:14" ht="12.75">
      <c r="B35" s="86" t="s">
        <v>167</v>
      </c>
      <c r="C35" s="45"/>
      <c r="D35" s="45"/>
      <c r="E35" s="73">
        <f aca="true" t="shared" si="3" ref="E35:N35">SUM(E31:E34)</f>
        <v>1288</v>
      </c>
      <c r="F35" s="73">
        <f t="shared" si="3"/>
        <v>400</v>
      </c>
      <c r="G35" s="73">
        <f t="shared" si="3"/>
        <v>640</v>
      </c>
      <c r="H35" s="73">
        <f t="shared" si="3"/>
        <v>1370</v>
      </c>
      <c r="I35" s="73">
        <f t="shared" si="3"/>
        <v>840</v>
      </c>
      <c r="J35" s="73">
        <f t="shared" si="3"/>
        <v>760</v>
      </c>
      <c r="K35" s="73">
        <f t="shared" si="3"/>
        <v>1095</v>
      </c>
      <c r="L35" s="73">
        <f t="shared" si="3"/>
        <v>1250</v>
      </c>
      <c r="M35" s="73">
        <f t="shared" si="3"/>
        <v>615</v>
      </c>
      <c r="N35" s="74">
        <f t="shared" si="3"/>
        <v>1420</v>
      </c>
    </row>
    <row r="36" spans="2:14" ht="12.75">
      <c r="B36" s="86"/>
      <c r="C36" s="45"/>
      <c r="D36" s="45"/>
      <c r="E36" s="64"/>
      <c r="F36" s="64"/>
      <c r="G36" s="64"/>
      <c r="H36" s="64"/>
      <c r="I36" s="64"/>
      <c r="J36" s="64"/>
      <c r="K36" s="64"/>
      <c r="L36" s="64"/>
      <c r="M36" s="64"/>
      <c r="N36" s="65"/>
    </row>
    <row r="37" spans="2:14" ht="12.75">
      <c r="B37" s="86" t="s">
        <v>206</v>
      </c>
      <c r="C37" s="45"/>
      <c r="D37" s="45"/>
      <c r="E37" s="64">
        <v>110</v>
      </c>
      <c r="F37" s="64">
        <v>40</v>
      </c>
      <c r="G37" s="64">
        <v>30</v>
      </c>
      <c r="H37" s="64">
        <v>170</v>
      </c>
      <c r="I37" s="64">
        <v>100</v>
      </c>
      <c r="J37" s="64">
        <v>40</v>
      </c>
      <c r="K37" s="64">
        <v>175</v>
      </c>
      <c r="L37" s="64">
        <v>100</v>
      </c>
      <c r="M37" s="64">
        <v>70</v>
      </c>
      <c r="N37" s="65">
        <v>175</v>
      </c>
    </row>
    <row r="38" spans="2:14" ht="12.75">
      <c r="B38" s="86" t="s">
        <v>207</v>
      </c>
      <c r="C38" s="45"/>
      <c r="D38" s="45"/>
      <c r="E38" s="64">
        <v>119</v>
      </c>
      <c r="F38" s="64">
        <v>28</v>
      </c>
      <c r="G38" s="64">
        <v>18</v>
      </c>
      <c r="H38" s="64">
        <v>155</v>
      </c>
      <c r="I38" s="64">
        <v>80</v>
      </c>
      <c r="J38" s="64">
        <v>44</v>
      </c>
      <c r="K38" s="64">
        <v>185</v>
      </c>
      <c r="L38" s="64">
        <v>110</v>
      </c>
      <c r="M38" s="64">
        <v>60</v>
      </c>
      <c r="N38" s="65">
        <v>180</v>
      </c>
    </row>
    <row r="39" spans="2:14" ht="13.5" thickBot="1">
      <c r="B39" s="107" t="s">
        <v>208</v>
      </c>
      <c r="C39" s="109"/>
      <c r="D39" s="109"/>
      <c r="E39" s="75">
        <f>E37-E38</f>
        <v>-9</v>
      </c>
      <c r="F39" s="75">
        <f aca="true" t="shared" si="4" ref="F39:N39">F37-F38</f>
        <v>12</v>
      </c>
      <c r="G39" s="75">
        <f t="shared" si="4"/>
        <v>12</v>
      </c>
      <c r="H39" s="75">
        <f t="shared" si="4"/>
        <v>15</v>
      </c>
      <c r="I39" s="75">
        <f t="shared" si="4"/>
        <v>20</v>
      </c>
      <c r="J39" s="75">
        <f t="shared" si="4"/>
        <v>-4</v>
      </c>
      <c r="K39" s="75">
        <f t="shared" si="4"/>
        <v>-10</v>
      </c>
      <c r="L39" s="75">
        <f t="shared" si="4"/>
        <v>-10</v>
      </c>
      <c r="M39" s="75">
        <f t="shared" si="4"/>
        <v>10</v>
      </c>
      <c r="N39" s="76">
        <f t="shared" si="4"/>
        <v>-5</v>
      </c>
    </row>
    <row r="40" spans="2:14" ht="12.75">
      <c r="B40" s="44"/>
      <c r="C40" s="45"/>
      <c r="D40" s="45"/>
      <c r="E40" s="2"/>
      <c r="F40" s="2"/>
      <c r="G40" s="2"/>
      <c r="H40" s="2"/>
      <c r="I40" s="2"/>
      <c r="J40" s="2"/>
      <c r="K40" s="2"/>
      <c r="L40" s="2"/>
      <c r="M40" s="2"/>
      <c r="N40" s="7"/>
    </row>
    <row r="41" spans="2:14" ht="12.75">
      <c r="B41" s="306" t="s">
        <v>168</v>
      </c>
      <c r="C41" s="307"/>
      <c r="D41" s="307"/>
      <c r="E41" s="308"/>
      <c r="F41" s="308"/>
      <c r="G41" s="308"/>
      <c r="H41" s="308"/>
      <c r="I41" s="308"/>
      <c r="J41" s="308"/>
      <c r="K41" s="308"/>
      <c r="L41" s="308"/>
      <c r="M41" s="308"/>
      <c r="N41" s="309"/>
    </row>
    <row r="42" spans="2:14" ht="13.5" thickBot="1">
      <c r="B42" s="44" t="s">
        <v>169</v>
      </c>
      <c r="C42" s="45"/>
      <c r="D42" s="45"/>
      <c r="E42" s="110">
        <v>20</v>
      </c>
      <c r="F42" s="110">
        <v>80</v>
      </c>
      <c r="G42" s="110">
        <v>90</v>
      </c>
      <c r="H42" s="110">
        <v>500</v>
      </c>
      <c r="I42" s="110">
        <v>100</v>
      </c>
      <c r="J42" s="110">
        <v>100</v>
      </c>
      <c r="K42" s="110">
        <v>100</v>
      </c>
      <c r="L42" s="110">
        <v>650</v>
      </c>
      <c r="M42" s="110">
        <v>100</v>
      </c>
      <c r="N42" s="111">
        <v>100</v>
      </c>
    </row>
    <row r="43" spans="2:14" ht="12.75">
      <c r="B43" s="44"/>
      <c r="C43" s="45"/>
      <c r="D43" s="45"/>
      <c r="E43" s="2"/>
      <c r="F43" s="2"/>
      <c r="G43" s="2"/>
      <c r="H43" s="2"/>
      <c r="I43" s="2"/>
      <c r="J43" s="2"/>
      <c r="K43" s="2"/>
      <c r="L43" s="2"/>
      <c r="M43" s="2"/>
      <c r="N43" s="7"/>
    </row>
    <row r="44" spans="2:14" ht="12.75">
      <c r="B44" s="86" t="s">
        <v>206</v>
      </c>
      <c r="C44" s="45"/>
      <c r="D44" s="45"/>
      <c r="E44" s="64">
        <v>0</v>
      </c>
      <c r="F44" s="64">
        <v>5</v>
      </c>
      <c r="G44" s="64">
        <v>0</v>
      </c>
      <c r="H44" s="64">
        <v>5</v>
      </c>
      <c r="I44" s="64">
        <v>5</v>
      </c>
      <c r="J44" s="64">
        <v>5</v>
      </c>
      <c r="K44" s="64">
        <v>5</v>
      </c>
      <c r="L44" s="64">
        <v>5</v>
      </c>
      <c r="M44" s="64">
        <v>5</v>
      </c>
      <c r="N44" s="65">
        <v>5</v>
      </c>
    </row>
    <row r="45" spans="2:14" ht="12.75">
      <c r="B45" s="86" t="s">
        <v>207</v>
      </c>
      <c r="C45" s="45"/>
      <c r="D45" s="45"/>
      <c r="E45" s="64">
        <v>0</v>
      </c>
      <c r="F45" s="64">
        <v>0</v>
      </c>
      <c r="G45" s="64">
        <v>5</v>
      </c>
      <c r="H45" s="64">
        <v>2</v>
      </c>
      <c r="I45" s="64">
        <v>5</v>
      </c>
      <c r="J45" s="64">
        <v>6</v>
      </c>
      <c r="K45" s="64">
        <v>4</v>
      </c>
      <c r="L45" s="64">
        <v>2</v>
      </c>
      <c r="M45" s="64">
        <v>7</v>
      </c>
      <c r="N45" s="65">
        <v>3</v>
      </c>
    </row>
    <row r="46" spans="2:14" ht="13.5" thickBot="1">
      <c r="B46" s="107" t="s">
        <v>208</v>
      </c>
      <c r="C46" s="109"/>
      <c r="D46" s="109"/>
      <c r="E46" s="75">
        <f aca="true" t="shared" si="5" ref="E46:N46">E44-E45</f>
        <v>0</v>
      </c>
      <c r="F46" s="75">
        <f t="shared" si="5"/>
        <v>5</v>
      </c>
      <c r="G46" s="75">
        <f t="shared" si="5"/>
        <v>-5</v>
      </c>
      <c r="H46" s="75">
        <f t="shared" si="5"/>
        <v>3</v>
      </c>
      <c r="I46" s="75">
        <f t="shared" si="5"/>
        <v>0</v>
      </c>
      <c r="J46" s="75">
        <f t="shared" si="5"/>
        <v>-1</v>
      </c>
      <c r="K46" s="75">
        <f t="shared" si="5"/>
        <v>1</v>
      </c>
      <c r="L46" s="75">
        <f t="shared" si="5"/>
        <v>3</v>
      </c>
      <c r="M46" s="75">
        <f t="shared" si="5"/>
        <v>-2</v>
      </c>
      <c r="N46" s="76">
        <f t="shared" si="5"/>
        <v>2</v>
      </c>
    </row>
    <row r="47" spans="2:14" ht="12.75">
      <c r="B47" s="44"/>
      <c r="C47" s="45"/>
      <c r="D47" s="45"/>
      <c r="E47" s="2"/>
      <c r="F47" s="2"/>
      <c r="G47" s="2"/>
      <c r="H47" s="2"/>
      <c r="I47" s="2"/>
      <c r="J47" s="2"/>
      <c r="K47" s="2"/>
      <c r="L47" s="2"/>
      <c r="M47" s="2"/>
      <c r="N47" s="7"/>
    </row>
    <row r="48" spans="2:14" ht="12.75">
      <c r="B48" s="306" t="s">
        <v>178</v>
      </c>
      <c r="C48" s="307"/>
      <c r="D48" s="307"/>
      <c r="E48" s="308"/>
      <c r="F48" s="308"/>
      <c r="G48" s="308"/>
      <c r="H48" s="308"/>
      <c r="I48" s="308"/>
      <c r="J48" s="308"/>
      <c r="K48" s="308"/>
      <c r="L48" s="308"/>
      <c r="M48" s="308"/>
      <c r="N48" s="309"/>
    </row>
    <row r="49" spans="2:14" ht="12.75">
      <c r="B49" s="44" t="s">
        <v>171</v>
      </c>
      <c r="C49" s="45"/>
      <c r="D49" s="45"/>
      <c r="E49" s="2">
        <v>1230</v>
      </c>
      <c r="F49" s="2">
        <f aca="true" t="shared" si="6" ref="F49:G55">E49*1.03</f>
        <v>1266.9</v>
      </c>
      <c r="G49" s="2">
        <f t="shared" si="6"/>
        <v>1304.9070000000002</v>
      </c>
      <c r="H49" s="2">
        <f aca="true" t="shared" si="7" ref="H49:N49">G49*1.03</f>
        <v>1344.0542100000002</v>
      </c>
      <c r="I49" s="2">
        <f t="shared" si="7"/>
        <v>1384.3758363000002</v>
      </c>
      <c r="J49" s="2">
        <f t="shared" si="7"/>
        <v>1425.9071113890002</v>
      </c>
      <c r="K49" s="2">
        <f t="shared" si="7"/>
        <v>1468.6843247306701</v>
      </c>
      <c r="L49" s="2">
        <f t="shared" si="7"/>
        <v>1512.7448544725903</v>
      </c>
      <c r="M49" s="2">
        <f t="shared" si="7"/>
        <v>1558.127200106768</v>
      </c>
      <c r="N49" s="7">
        <f t="shared" si="7"/>
        <v>1604.8710161099712</v>
      </c>
    </row>
    <row r="50" spans="2:14" ht="12.75">
      <c r="B50" s="44" t="s">
        <v>170</v>
      </c>
      <c r="C50" s="45"/>
      <c r="D50" s="45"/>
      <c r="E50" s="2">
        <v>160</v>
      </c>
      <c r="F50" s="2">
        <f>E50*1.03</f>
        <v>164.8</v>
      </c>
      <c r="G50" s="2">
        <f>F50*1.03</f>
        <v>169.74400000000003</v>
      </c>
      <c r="H50" s="2">
        <f aca="true" t="shared" si="8" ref="H50:N50">G50*1.03</f>
        <v>174.83632000000003</v>
      </c>
      <c r="I50" s="2">
        <f t="shared" si="8"/>
        <v>180.08140960000003</v>
      </c>
      <c r="J50" s="2">
        <f t="shared" si="8"/>
        <v>185.48385188800003</v>
      </c>
      <c r="K50" s="2">
        <f t="shared" si="8"/>
        <v>191.04836744464004</v>
      </c>
      <c r="L50" s="2">
        <f t="shared" si="8"/>
        <v>196.77981846797925</v>
      </c>
      <c r="M50" s="2">
        <f t="shared" si="8"/>
        <v>202.68321302201863</v>
      </c>
      <c r="N50" s="7">
        <f t="shared" si="8"/>
        <v>208.7637094126792</v>
      </c>
    </row>
    <row r="51" spans="2:14" ht="12.75">
      <c r="B51" s="44" t="s">
        <v>172</v>
      </c>
      <c r="C51" s="45"/>
      <c r="D51" s="45"/>
      <c r="E51" s="2">
        <v>1270</v>
      </c>
      <c r="F51" s="2">
        <f t="shared" si="6"/>
        <v>1308.1000000000001</v>
      </c>
      <c r="G51" s="2">
        <f t="shared" si="6"/>
        <v>1347.343</v>
      </c>
      <c r="H51" s="2">
        <f aca="true" t="shared" si="9" ref="H51:N51">G51*1.03</f>
        <v>1387.76329</v>
      </c>
      <c r="I51" s="2">
        <f t="shared" si="9"/>
        <v>1429.3961887</v>
      </c>
      <c r="J51" s="2">
        <f t="shared" si="9"/>
        <v>1472.278074361</v>
      </c>
      <c r="K51" s="2">
        <f t="shared" si="9"/>
        <v>1516.4464165918303</v>
      </c>
      <c r="L51" s="2">
        <f t="shared" si="9"/>
        <v>1561.9398090895852</v>
      </c>
      <c r="M51" s="2">
        <f t="shared" si="9"/>
        <v>1608.7980033622728</v>
      </c>
      <c r="N51" s="7">
        <f t="shared" si="9"/>
        <v>1657.061943463141</v>
      </c>
    </row>
    <row r="52" spans="2:14" ht="12.75">
      <c r="B52" s="44" t="s">
        <v>173</v>
      </c>
      <c r="C52" s="45"/>
      <c r="D52" s="45"/>
      <c r="E52" s="2">
        <v>1184</v>
      </c>
      <c r="F52" s="2">
        <f t="shared" si="6"/>
        <v>1219.52</v>
      </c>
      <c r="G52" s="2">
        <f t="shared" si="6"/>
        <v>1256.1056</v>
      </c>
      <c r="H52" s="2">
        <f aca="true" t="shared" si="10" ref="H52:N52">G52*1.03</f>
        <v>1293.7887680000001</v>
      </c>
      <c r="I52" s="2">
        <v>0</v>
      </c>
      <c r="J52" s="2">
        <f t="shared" si="10"/>
        <v>0</v>
      </c>
      <c r="K52" s="2">
        <f t="shared" si="10"/>
        <v>0</v>
      </c>
      <c r="L52" s="2">
        <f t="shared" si="10"/>
        <v>0</v>
      </c>
      <c r="M52" s="2">
        <f t="shared" si="10"/>
        <v>0</v>
      </c>
      <c r="N52" s="7">
        <f t="shared" si="10"/>
        <v>0</v>
      </c>
    </row>
    <row r="53" spans="2:14" ht="12.75">
      <c r="B53" s="44" t="s">
        <v>174</v>
      </c>
      <c r="C53" s="45"/>
      <c r="D53" s="45"/>
      <c r="E53" s="2">
        <v>1400</v>
      </c>
      <c r="F53" s="2">
        <v>1400</v>
      </c>
      <c r="G53" s="2">
        <v>1400</v>
      </c>
      <c r="H53" s="2">
        <v>1400</v>
      </c>
      <c r="I53" s="2">
        <v>0</v>
      </c>
      <c r="J53" s="2">
        <f>I53*1.03</f>
        <v>0</v>
      </c>
      <c r="K53" s="2">
        <f>J53*1.03</f>
        <v>0</v>
      </c>
      <c r="L53" s="2">
        <f>K53*1.03</f>
        <v>0</v>
      </c>
      <c r="M53" s="2">
        <f>L53*1.03</f>
        <v>0</v>
      </c>
      <c r="N53" s="7">
        <f>M53*1.03</f>
        <v>0</v>
      </c>
    </row>
    <row r="54" spans="2:14" ht="12.75">
      <c r="B54" s="44" t="s">
        <v>175</v>
      </c>
      <c r="C54" s="45"/>
      <c r="D54" s="45"/>
      <c r="E54" s="2">
        <v>1940</v>
      </c>
      <c r="F54" s="2">
        <v>250</v>
      </c>
      <c r="G54" s="2">
        <v>250</v>
      </c>
      <c r="H54" s="2">
        <v>250</v>
      </c>
      <c r="I54" s="2">
        <v>250</v>
      </c>
      <c r="J54" s="2">
        <v>250</v>
      </c>
      <c r="K54" s="2">
        <v>250</v>
      </c>
      <c r="L54" s="2">
        <v>250</v>
      </c>
      <c r="M54" s="2">
        <v>250</v>
      </c>
      <c r="N54" s="7">
        <v>250</v>
      </c>
    </row>
    <row r="55" spans="2:14" ht="12.75">
      <c r="B55" s="44" t="s">
        <v>319</v>
      </c>
      <c r="C55" s="45"/>
      <c r="D55" s="45"/>
      <c r="E55" s="2">
        <v>1150</v>
      </c>
      <c r="F55" s="2">
        <f t="shared" si="6"/>
        <v>1184.5</v>
      </c>
      <c r="G55" s="2">
        <f t="shared" si="6"/>
        <v>1220.035</v>
      </c>
      <c r="H55" s="2">
        <f aca="true" t="shared" si="11" ref="H55:N55">G55*1.03</f>
        <v>1256.63605</v>
      </c>
      <c r="I55" s="2">
        <f t="shared" si="11"/>
        <v>1294.3351315000002</v>
      </c>
      <c r="J55" s="2">
        <f t="shared" si="11"/>
        <v>1333.1651854450004</v>
      </c>
      <c r="K55" s="2">
        <f t="shared" si="11"/>
        <v>1373.1601410083504</v>
      </c>
      <c r="L55" s="2">
        <f t="shared" si="11"/>
        <v>1414.354945238601</v>
      </c>
      <c r="M55" s="2">
        <f t="shared" si="11"/>
        <v>1456.785593595759</v>
      </c>
      <c r="N55" s="7">
        <f t="shared" si="11"/>
        <v>1500.489161403632</v>
      </c>
    </row>
    <row r="56" spans="2:14" ht="13.5" thickBot="1">
      <c r="B56" s="44" t="s">
        <v>320</v>
      </c>
      <c r="C56" s="45"/>
      <c r="D56" s="45"/>
      <c r="E56" s="2"/>
      <c r="F56" s="2">
        <v>750</v>
      </c>
      <c r="G56" s="2">
        <v>1000</v>
      </c>
      <c r="H56" s="2">
        <v>1250</v>
      </c>
      <c r="I56" s="2">
        <v>1500</v>
      </c>
      <c r="J56" s="2">
        <v>1750</v>
      </c>
      <c r="K56" s="2">
        <v>2000</v>
      </c>
      <c r="L56" s="2">
        <v>2250</v>
      </c>
      <c r="M56" s="2">
        <v>2500</v>
      </c>
      <c r="N56" s="7">
        <v>2500</v>
      </c>
    </row>
    <row r="57" spans="2:14" ht="12.75">
      <c r="B57" s="86" t="s">
        <v>176</v>
      </c>
      <c r="C57" s="45"/>
      <c r="D57" s="45"/>
      <c r="E57" s="73">
        <f>SUM(E49:E56)</f>
        <v>8334</v>
      </c>
      <c r="F57" s="73">
        <f aca="true" t="shared" si="12" ref="F57:N57">SUM(F49:F56)</f>
        <v>7543.82</v>
      </c>
      <c r="G57" s="73">
        <f t="shared" si="12"/>
        <v>7948.1346</v>
      </c>
      <c r="H57" s="73">
        <f t="shared" si="12"/>
        <v>8357.078638</v>
      </c>
      <c r="I57" s="73">
        <f t="shared" si="12"/>
        <v>6038.188566100001</v>
      </c>
      <c r="J57" s="73">
        <f t="shared" si="12"/>
        <v>6416.834223083</v>
      </c>
      <c r="K57" s="73">
        <f t="shared" si="12"/>
        <v>6799.33924977549</v>
      </c>
      <c r="L57" s="73">
        <f t="shared" si="12"/>
        <v>7185.819427268756</v>
      </c>
      <c r="M57" s="73">
        <f t="shared" si="12"/>
        <v>7576.3940100868185</v>
      </c>
      <c r="N57" s="74">
        <f t="shared" si="12"/>
        <v>7721.185830389423</v>
      </c>
    </row>
    <row r="58" spans="2:14" ht="12.75">
      <c r="B58" s="44"/>
      <c r="C58" s="45"/>
      <c r="D58" s="45"/>
      <c r="E58" s="2"/>
      <c r="F58" s="2">
        <v>0</v>
      </c>
      <c r="G58" s="2">
        <v>0</v>
      </c>
      <c r="H58" s="2"/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7">
        <v>0</v>
      </c>
    </row>
    <row r="59" spans="2:14" ht="12.75">
      <c r="B59" s="306" t="s">
        <v>177</v>
      </c>
      <c r="C59" s="307"/>
      <c r="D59" s="307"/>
      <c r="E59" s="308"/>
      <c r="F59" s="308"/>
      <c r="G59" s="308"/>
      <c r="H59" s="308"/>
      <c r="I59" s="308"/>
      <c r="J59" s="308"/>
      <c r="K59" s="308"/>
      <c r="L59" s="308"/>
      <c r="M59" s="308"/>
      <c r="N59" s="309"/>
    </row>
    <row r="60" spans="2:14" ht="12.75">
      <c r="B60" s="44" t="s">
        <v>179</v>
      </c>
      <c r="C60" s="45"/>
      <c r="D60" s="45"/>
      <c r="E60" s="2">
        <v>60</v>
      </c>
      <c r="F60" s="2"/>
      <c r="G60" s="2"/>
      <c r="H60" s="2"/>
      <c r="I60" s="2"/>
      <c r="J60" s="2"/>
      <c r="K60" s="2"/>
      <c r="L60" s="2"/>
      <c r="M60" s="2"/>
      <c r="N60" s="7"/>
    </row>
    <row r="61" spans="2:14" ht="12.75">
      <c r="B61" s="44" t="s">
        <v>180</v>
      </c>
      <c r="C61" s="45"/>
      <c r="D61" s="45"/>
      <c r="E61" s="2">
        <v>12</v>
      </c>
      <c r="F61" s="2"/>
      <c r="G61" s="2"/>
      <c r="H61" s="2"/>
      <c r="I61" s="2"/>
      <c r="J61" s="2"/>
      <c r="K61" s="2"/>
      <c r="L61" s="2"/>
      <c r="M61" s="2"/>
      <c r="N61" s="7"/>
    </row>
    <row r="62" spans="2:14" ht="12.75">
      <c r="B62" s="44" t="s">
        <v>181</v>
      </c>
      <c r="C62" s="45"/>
      <c r="D62" s="45"/>
      <c r="E62" s="2">
        <v>50</v>
      </c>
      <c r="F62" s="2"/>
      <c r="G62" s="2"/>
      <c r="H62" s="2"/>
      <c r="I62" s="2"/>
      <c r="J62" s="2"/>
      <c r="K62" s="2"/>
      <c r="L62" s="2"/>
      <c r="M62" s="2"/>
      <c r="N62" s="7"/>
    </row>
    <row r="63" spans="2:14" ht="12.75">
      <c r="B63" s="44" t="s">
        <v>183</v>
      </c>
      <c r="C63" s="45"/>
      <c r="D63" s="45"/>
      <c r="E63" s="2">
        <v>1235</v>
      </c>
      <c r="F63" s="2"/>
      <c r="G63" s="2"/>
      <c r="H63" s="2"/>
      <c r="I63" s="2"/>
      <c r="J63" s="2"/>
      <c r="K63" s="2"/>
      <c r="L63" s="2"/>
      <c r="M63" s="2"/>
      <c r="N63" s="7"/>
    </row>
    <row r="64" spans="2:14" ht="12.75">
      <c r="B64" s="44" t="s">
        <v>217</v>
      </c>
      <c r="C64" s="45"/>
      <c r="D64" s="45"/>
      <c r="E64" s="2">
        <v>0</v>
      </c>
      <c r="F64" s="2">
        <v>1200</v>
      </c>
      <c r="G64" s="2">
        <v>1200</v>
      </c>
      <c r="H64" s="2">
        <v>1200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7">
        <v>0</v>
      </c>
    </row>
    <row r="65" spans="2:14" ht="13.5" thickBot="1">
      <c r="B65" s="44" t="s">
        <v>218</v>
      </c>
      <c r="C65" s="45"/>
      <c r="D65" s="45"/>
      <c r="E65" s="2">
        <v>0</v>
      </c>
      <c r="F65" s="2">
        <v>250</v>
      </c>
      <c r="G65" s="2">
        <v>350</v>
      </c>
      <c r="H65" s="2">
        <v>400</v>
      </c>
      <c r="I65" s="2">
        <v>750</v>
      </c>
      <c r="J65" s="2">
        <v>750</v>
      </c>
      <c r="K65" s="2">
        <v>800</v>
      </c>
      <c r="L65" s="2">
        <v>800</v>
      </c>
      <c r="M65" s="2">
        <v>850</v>
      </c>
      <c r="N65" s="7">
        <v>850</v>
      </c>
    </row>
    <row r="66" spans="2:14" ht="12.75">
      <c r="B66" s="86" t="s">
        <v>182</v>
      </c>
      <c r="C66" s="45"/>
      <c r="D66" s="45"/>
      <c r="E66" s="73">
        <f aca="true" t="shared" si="13" ref="E66:N66">SUM(E60:E65)</f>
        <v>1357</v>
      </c>
      <c r="F66" s="73">
        <f t="shared" si="13"/>
        <v>1450</v>
      </c>
      <c r="G66" s="73">
        <f t="shared" si="13"/>
        <v>1550</v>
      </c>
      <c r="H66" s="73">
        <f t="shared" si="13"/>
        <v>1600</v>
      </c>
      <c r="I66" s="73">
        <f t="shared" si="13"/>
        <v>750</v>
      </c>
      <c r="J66" s="73">
        <f t="shared" si="13"/>
        <v>750</v>
      </c>
      <c r="K66" s="73">
        <f t="shared" si="13"/>
        <v>800</v>
      </c>
      <c r="L66" s="73">
        <f t="shared" si="13"/>
        <v>800</v>
      </c>
      <c r="M66" s="73">
        <f t="shared" si="13"/>
        <v>850</v>
      </c>
      <c r="N66" s="74">
        <f t="shared" si="13"/>
        <v>850</v>
      </c>
    </row>
    <row r="67" spans="2:14" ht="12.75">
      <c r="B67" s="21"/>
      <c r="C67" s="38"/>
      <c r="D67" s="38"/>
      <c r="E67" s="19"/>
      <c r="F67" s="19"/>
      <c r="G67" s="19"/>
      <c r="H67" s="19"/>
      <c r="I67" s="19"/>
      <c r="J67" s="19"/>
      <c r="K67" s="19"/>
      <c r="L67" s="19"/>
      <c r="M67" s="19"/>
      <c r="N67" s="139"/>
    </row>
    <row r="68" spans="2:14" ht="12.75">
      <c r="B68" s="39"/>
      <c r="C68" s="40"/>
      <c r="D68" s="46" t="s">
        <v>91</v>
      </c>
      <c r="E68" s="317">
        <f aca="true" t="shared" si="14" ref="E68:N68">E15+E24+E35+E42+E57+E66</f>
        <v>15460</v>
      </c>
      <c r="F68" s="317">
        <f t="shared" si="14"/>
        <v>11857.82</v>
      </c>
      <c r="G68" s="317">
        <f t="shared" si="14"/>
        <v>12423.134600000001</v>
      </c>
      <c r="H68" s="317">
        <f t="shared" si="14"/>
        <v>14122.078638</v>
      </c>
      <c r="I68" s="317">
        <f t="shared" si="14"/>
        <v>10563.188566100001</v>
      </c>
      <c r="J68" s="317">
        <f t="shared" si="14"/>
        <v>13996.834223083</v>
      </c>
      <c r="K68" s="317">
        <f t="shared" si="14"/>
        <v>15789.33924977549</v>
      </c>
      <c r="L68" s="317">
        <f t="shared" si="14"/>
        <v>13740.819427268756</v>
      </c>
      <c r="M68" s="317">
        <f t="shared" si="14"/>
        <v>12871.394010086819</v>
      </c>
      <c r="N68" s="318">
        <f t="shared" si="14"/>
        <v>13856.185830389422</v>
      </c>
    </row>
    <row r="69" spans="2:14" ht="12.75">
      <c r="B69" s="112"/>
      <c r="C69" s="113"/>
      <c r="D69" s="46"/>
      <c r="E69" s="81"/>
      <c r="F69" s="81"/>
      <c r="G69" s="81"/>
      <c r="H69" s="81"/>
      <c r="I69" s="81"/>
      <c r="J69" s="81"/>
      <c r="K69" s="81"/>
      <c r="L69" s="81"/>
      <c r="M69" s="81"/>
      <c r="N69" s="82"/>
    </row>
    <row r="70" spans="2:14" ht="12.75">
      <c r="B70" s="112"/>
      <c r="C70" s="113"/>
      <c r="D70" s="46" t="s">
        <v>219</v>
      </c>
      <c r="E70" s="81">
        <f aca="true" t="shared" si="15" ref="E70:N70">E17+E26+E37+E44</f>
        <v>602</v>
      </c>
      <c r="F70" s="81">
        <f t="shared" si="15"/>
        <v>3195</v>
      </c>
      <c r="G70" s="81">
        <f t="shared" si="15"/>
        <v>3450</v>
      </c>
      <c r="H70" s="81">
        <f t="shared" si="15"/>
        <v>345</v>
      </c>
      <c r="I70" s="81">
        <f t="shared" si="15"/>
        <v>400</v>
      </c>
      <c r="J70" s="81">
        <f t="shared" si="15"/>
        <v>235</v>
      </c>
      <c r="K70" s="81">
        <f t="shared" si="15"/>
        <v>395</v>
      </c>
      <c r="L70" s="81">
        <f t="shared" si="15"/>
        <v>320</v>
      </c>
      <c r="M70" s="81">
        <f t="shared" si="15"/>
        <v>288</v>
      </c>
      <c r="N70" s="82">
        <f t="shared" si="15"/>
        <v>410</v>
      </c>
    </row>
    <row r="71" spans="2:14" ht="12.75">
      <c r="B71" s="112"/>
      <c r="C71" s="113"/>
      <c r="D71" s="46" t="s">
        <v>222</v>
      </c>
      <c r="E71" s="81">
        <f aca="true" t="shared" si="16" ref="E71:N71">E18+E27+E38+E45</f>
        <v>511</v>
      </c>
      <c r="F71" s="81">
        <f t="shared" si="16"/>
        <v>2323</v>
      </c>
      <c r="G71" s="81">
        <f t="shared" si="16"/>
        <v>2704</v>
      </c>
      <c r="H71" s="81">
        <f t="shared" si="16"/>
        <v>329</v>
      </c>
      <c r="I71" s="81">
        <f t="shared" si="16"/>
        <v>390</v>
      </c>
      <c r="J71" s="81">
        <f t="shared" si="16"/>
        <v>232</v>
      </c>
      <c r="K71" s="81">
        <f t="shared" si="16"/>
        <v>400</v>
      </c>
      <c r="L71" s="81">
        <f t="shared" si="16"/>
        <v>335</v>
      </c>
      <c r="M71" s="81">
        <f t="shared" si="16"/>
        <v>292</v>
      </c>
      <c r="N71" s="82">
        <f t="shared" si="16"/>
        <v>405</v>
      </c>
    </row>
    <row r="72" spans="2:14" ht="12.75">
      <c r="B72" s="112"/>
      <c r="C72" s="113"/>
      <c r="D72" s="46" t="s">
        <v>220</v>
      </c>
      <c r="E72" s="81">
        <f>E19</f>
        <v>107</v>
      </c>
      <c r="F72" s="81">
        <f>F19+F28+F39+F46</f>
        <v>872</v>
      </c>
      <c r="G72" s="81">
        <f>G19+G28+G39</f>
        <v>751</v>
      </c>
      <c r="H72" s="81">
        <f>H39+H46</f>
        <v>18</v>
      </c>
      <c r="I72" s="81">
        <f>I39</f>
        <v>20</v>
      </c>
      <c r="J72" s="81">
        <f>J28</f>
        <v>8</v>
      </c>
      <c r="K72" s="81">
        <f>K28+K46</f>
        <v>5</v>
      </c>
      <c r="L72" s="81">
        <f>L46</f>
        <v>3</v>
      </c>
      <c r="M72" s="81">
        <f>M39</f>
        <v>10</v>
      </c>
      <c r="N72" s="82">
        <f>N28+N46</f>
        <v>10</v>
      </c>
    </row>
    <row r="73" spans="2:14" ht="12.75">
      <c r="B73" s="112"/>
      <c r="C73" s="113"/>
      <c r="D73" s="46" t="s">
        <v>221</v>
      </c>
      <c r="E73" s="81">
        <f>E28+E39</f>
        <v>-16</v>
      </c>
      <c r="F73" s="81">
        <v>0</v>
      </c>
      <c r="G73" s="81">
        <f>G46</f>
        <v>-5</v>
      </c>
      <c r="H73" s="81">
        <f>H28</f>
        <v>-2</v>
      </c>
      <c r="I73" s="81">
        <f>I28</f>
        <v>-10</v>
      </c>
      <c r="J73" s="81">
        <f>J39+J46</f>
        <v>-5</v>
      </c>
      <c r="K73" s="81">
        <f>K39</f>
        <v>-10</v>
      </c>
      <c r="L73" s="81">
        <f>L28+L39</f>
        <v>-18</v>
      </c>
      <c r="M73" s="81">
        <f>M28+M46</f>
        <v>-14</v>
      </c>
      <c r="N73" s="82">
        <f>N39</f>
        <v>-5</v>
      </c>
    </row>
    <row r="74" spans="2:14" ht="12.75">
      <c r="B74" s="112"/>
      <c r="C74" s="113"/>
      <c r="D74" s="46"/>
      <c r="E74" s="81"/>
      <c r="F74" s="81"/>
      <c r="G74" s="81"/>
      <c r="H74" s="81"/>
      <c r="I74" s="81"/>
      <c r="J74" s="81"/>
      <c r="K74" s="81"/>
      <c r="L74" s="81"/>
      <c r="M74" s="81"/>
      <c r="N74" s="82"/>
    </row>
    <row r="75" spans="2:14" ht="12.75">
      <c r="B75" s="112"/>
      <c r="C75" s="113"/>
      <c r="D75" s="46" t="s">
        <v>300</v>
      </c>
      <c r="E75" s="81"/>
      <c r="F75" s="81"/>
      <c r="G75" s="81"/>
      <c r="H75" s="81"/>
      <c r="I75" s="81"/>
      <c r="J75" s="81"/>
      <c r="K75" s="81"/>
      <c r="L75" s="81"/>
      <c r="M75" s="81"/>
      <c r="N75" s="82"/>
    </row>
    <row r="76" spans="2:14" ht="12.75">
      <c r="B76" s="112"/>
      <c r="C76" s="113"/>
      <c r="D76" s="46">
        <v>0.05</v>
      </c>
      <c r="E76" s="81"/>
      <c r="F76" s="81"/>
      <c r="G76" s="81"/>
      <c r="H76" s="81"/>
      <c r="I76" s="81"/>
      <c r="J76" s="81"/>
      <c r="K76" s="81"/>
      <c r="L76" s="81"/>
      <c r="M76" s="81"/>
      <c r="N76" s="82"/>
    </row>
    <row r="77" spans="2:14" ht="12.75">
      <c r="B77" s="112"/>
      <c r="C77" s="113"/>
      <c r="D77" s="46" t="s">
        <v>297</v>
      </c>
      <c r="E77" s="81">
        <f>NPV(D76,E68:N68)</f>
        <v>103875.2570048234</v>
      </c>
      <c r="F77" s="81"/>
      <c r="G77" s="81"/>
      <c r="H77" s="81"/>
      <c r="I77" s="81"/>
      <c r="J77" s="81"/>
      <c r="K77" s="81"/>
      <c r="L77" s="81"/>
      <c r="M77" s="81"/>
      <c r="N77" s="82"/>
    </row>
    <row r="78" spans="2:14" ht="13.5" thickBot="1">
      <c r="B78" s="3"/>
      <c r="C78" s="4"/>
      <c r="D78" s="4"/>
      <c r="E78" s="5"/>
      <c r="F78" s="5"/>
      <c r="G78" s="5"/>
      <c r="H78" s="5"/>
      <c r="I78" s="5"/>
      <c r="J78" s="5"/>
      <c r="K78" s="5"/>
      <c r="L78" s="5"/>
      <c r="M78" s="5"/>
      <c r="N78" s="68"/>
    </row>
  </sheetData>
  <mergeCells count="3">
    <mergeCell ref="B2:N2"/>
    <mergeCell ref="B3:N3"/>
    <mergeCell ref="B4:N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Footer>&amp;CPage &amp;P of &amp;N</oddFooter>
  </headerFooter>
  <rowBreaks count="2" manualBreakCount="2">
    <brk id="28" min="1" max="13" man="1"/>
    <brk id="46" min="1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M84"/>
  <sheetViews>
    <sheetView showGridLines="0" zoomScaleSheetLayoutView="100" workbookViewId="0" topLeftCell="A1">
      <selection activeCell="B2" sqref="B2:M2"/>
    </sheetView>
  </sheetViews>
  <sheetFormatPr defaultColWidth="9.140625" defaultRowHeight="12.75"/>
  <cols>
    <col min="1" max="1" width="7.421875" style="0" customWidth="1"/>
    <col min="3" max="3" width="31.00390625" style="0" customWidth="1"/>
    <col min="4" max="4" width="10.57421875" style="0" customWidth="1"/>
    <col min="5" max="13" width="10.00390625" style="0" bestFit="1" customWidth="1"/>
  </cols>
  <sheetData>
    <row r="1" ht="13.5" thickBot="1"/>
    <row r="2" spans="2:13" ht="23.25">
      <c r="B2" s="343" t="s">
        <v>351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5"/>
    </row>
    <row r="3" spans="2:13" ht="21">
      <c r="B3" s="346" t="s">
        <v>145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8"/>
    </row>
    <row r="4" spans="2:13" ht="16.5" thickBot="1">
      <c r="B4" s="349" t="s">
        <v>118</v>
      </c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1"/>
    </row>
    <row r="5" spans="2:13" ht="12.75">
      <c r="B5" s="11"/>
      <c r="C5" s="12"/>
      <c r="D5" s="9" t="s">
        <v>0</v>
      </c>
      <c r="E5" s="9" t="s">
        <v>1</v>
      </c>
      <c r="F5" s="9" t="s">
        <v>2</v>
      </c>
      <c r="G5" s="9" t="s">
        <v>3</v>
      </c>
      <c r="H5" s="9" t="s">
        <v>4</v>
      </c>
      <c r="I5" s="9" t="s">
        <v>5</v>
      </c>
      <c r="J5" s="9" t="s">
        <v>6</v>
      </c>
      <c r="K5" s="9" t="s">
        <v>7</v>
      </c>
      <c r="L5" s="9" t="s">
        <v>8</v>
      </c>
      <c r="M5" s="10" t="s">
        <v>9</v>
      </c>
    </row>
    <row r="6" spans="2:13" ht="13.5" thickBot="1">
      <c r="B6" s="13"/>
      <c r="C6" s="14"/>
      <c r="D6" s="15" t="s">
        <v>119</v>
      </c>
      <c r="E6" s="15" t="s">
        <v>119</v>
      </c>
      <c r="F6" s="15" t="s">
        <v>119</v>
      </c>
      <c r="G6" s="15" t="s">
        <v>119</v>
      </c>
      <c r="H6" s="15" t="s">
        <v>119</v>
      </c>
      <c r="I6" s="15" t="s">
        <v>119</v>
      </c>
      <c r="J6" s="15" t="s">
        <v>119</v>
      </c>
      <c r="K6" s="15" t="s">
        <v>119</v>
      </c>
      <c r="L6" s="15" t="s">
        <v>119</v>
      </c>
      <c r="M6" s="16" t="s">
        <v>119</v>
      </c>
    </row>
    <row r="7" spans="2:13" ht="12.75">
      <c r="B7" s="280" t="s">
        <v>137</v>
      </c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2"/>
    </row>
    <row r="8" spans="2:13" ht="12.75">
      <c r="B8" s="283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5"/>
    </row>
    <row r="9" spans="2:13" ht="12.75">
      <c r="B9" s="361" t="s">
        <v>138</v>
      </c>
      <c r="C9" s="367"/>
      <c r="D9" s="17"/>
      <c r="E9" s="17"/>
      <c r="F9" s="17"/>
      <c r="G9" s="17"/>
      <c r="H9" s="17"/>
      <c r="I9" s="17"/>
      <c r="J9" s="17"/>
      <c r="K9" s="17"/>
      <c r="L9" s="17"/>
      <c r="M9" s="18"/>
    </row>
    <row r="10" spans="2:13" ht="12.75">
      <c r="B10" s="48" t="s">
        <v>139</v>
      </c>
      <c r="C10" s="47"/>
      <c r="D10" s="83">
        <v>16</v>
      </c>
      <c r="E10" s="17">
        <v>17</v>
      </c>
      <c r="F10" s="17">
        <v>16</v>
      </c>
      <c r="G10" s="17">
        <v>14</v>
      </c>
      <c r="H10" s="17">
        <v>12</v>
      </c>
      <c r="I10" s="17">
        <v>9</v>
      </c>
      <c r="J10" s="17">
        <v>7</v>
      </c>
      <c r="K10" s="17">
        <v>4</v>
      </c>
      <c r="L10" s="17">
        <v>2</v>
      </c>
      <c r="M10" s="18"/>
    </row>
    <row r="11" spans="2:13" ht="12.75">
      <c r="B11" s="336" t="s">
        <v>140</v>
      </c>
      <c r="C11" s="337"/>
      <c r="D11" s="83">
        <v>5</v>
      </c>
      <c r="E11" s="51">
        <v>7</v>
      </c>
      <c r="F11" s="51">
        <v>7</v>
      </c>
      <c r="G11" s="51">
        <v>6</v>
      </c>
      <c r="H11" s="51">
        <v>6</v>
      </c>
      <c r="I11" s="51">
        <v>5</v>
      </c>
      <c r="J11" s="51">
        <v>5</v>
      </c>
      <c r="K11" s="51">
        <v>4</v>
      </c>
      <c r="L11" s="51">
        <v>3</v>
      </c>
      <c r="M11" s="57">
        <v>3</v>
      </c>
    </row>
    <row r="12" spans="2:13" ht="12.75">
      <c r="B12" s="340" t="s">
        <v>154</v>
      </c>
      <c r="C12" s="342"/>
      <c r="D12" s="84">
        <v>2</v>
      </c>
      <c r="E12" s="61">
        <v>2</v>
      </c>
      <c r="F12" s="61">
        <v>1</v>
      </c>
      <c r="G12" s="61">
        <v>1</v>
      </c>
      <c r="H12" s="61"/>
      <c r="I12" s="61"/>
      <c r="J12" s="61"/>
      <c r="K12" s="61"/>
      <c r="L12" s="61"/>
      <c r="M12" s="58"/>
    </row>
    <row r="13" spans="2:13" ht="12.75">
      <c r="B13" s="60" t="s">
        <v>146</v>
      </c>
      <c r="C13" s="49"/>
      <c r="D13" s="77">
        <f>SUM(D10:D12)</f>
        <v>23</v>
      </c>
      <c r="E13" s="77">
        <f aca="true" t="shared" si="0" ref="E13:M13">SUM(E10:E12)</f>
        <v>26</v>
      </c>
      <c r="F13" s="77">
        <f t="shared" si="0"/>
        <v>24</v>
      </c>
      <c r="G13" s="77">
        <f t="shared" si="0"/>
        <v>21</v>
      </c>
      <c r="H13" s="77">
        <f t="shared" si="0"/>
        <v>18</v>
      </c>
      <c r="I13" s="77">
        <f t="shared" si="0"/>
        <v>14</v>
      </c>
      <c r="J13" s="77">
        <f t="shared" si="0"/>
        <v>12</v>
      </c>
      <c r="K13" s="77">
        <f t="shared" si="0"/>
        <v>8</v>
      </c>
      <c r="L13" s="77">
        <f t="shared" si="0"/>
        <v>5</v>
      </c>
      <c r="M13" s="78">
        <f t="shared" si="0"/>
        <v>3</v>
      </c>
    </row>
    <row r="14" spans="2:13" ht="12.75">
      <c r="B14" s="48"/>
      <c r="C14" s="49"/>
      <c r="D14" s="51"/>
      <c r="E14" s="51"/>
      <c r="F14" s="51"/>
      <c r="G14" s="51"/>
      <c r="H14" s="51"/>
      <c r="I14" s="51"/>
      <c r="J14" s="51"/>
      <c r="K14" s="51"/>
      <c r="L14" s="51"/>
      <c r="M14" s="57"/>
    </row>
    <row r="15" spans="2:13" ht="12.75">
      <c r="B15" s="60" t="s">
        <v>113</v>
      </c>
      <c r="C15" s="49"/>
      <c r="D15" s="51"/>
      <c r="E15" s="51"/>
      <c r="F15" s="51"/>
      <c r="G15" s="51"/>
      <c r="H15" s="51"/>
      <c r="I15" s="51"/>
      <c r="J15" s="51"/>
      <c r="K15" s="51"/>
      <c r="L15" s="51"/>
      <c r="M15" s="57"/>
    </row>
    <row r="16" spans="2:13" ht="12.75">
      <c r="B16" s="48" t="s">
        <v>141</v>
      </c>
      <c r="C16" s="49"/>
      <c r="D16" s="83">
        <v>35</v>
      </c>
      <c r="E16" s="51">
        <v>75</v>
      </c>
      <c r="F16" s="51">
        <v>73</v>
      </c>
      <c r="G16" s="51">
        <v>71</v>
      </c>
      <c r="H16" s="51">
        <v>68</v>
      </c>
      <c r="I16" s="51">
        <v>66</v>
      </c>
      <c r="J16" s="51">
        <v>63</v>
      </c>
      <c r="K16" s="51">
        <v>61</v>
      </c>
      <c r="L16" s="51">
        <v>58</v>
      </c>
      <c r="M16" s="57">
        <v>55</v>
      </c>
    </row>
    <row r="17" spans="2:13" ht="12.75">
      <c r="B17" s="48"/>
      <c r="C17" s="49"/>
      <c r="D17" s="83"/>
      <c r="E17" s="51"/>
      <c r="F17" s="51"/>
      <c r="G17" s="51"/>
      <c r="H17" s="51"/>
      <c r="I17" s="51"/>
      <c r="J17" s="51"/>
      <c r="K17" s="51"/>
      <c r="L17" s="51"/>
      <c r="M17" s="57"/>
    </row>
    <row r="18" spans="2:13" ht="12.75">
      <c r="B18" s="60" t="s">
        <v>223</v>
      </c>
      <c r="C18" s="49"/>
      <c r="D18" s="83"/>
      <c r="E18" s="51"/>
      <c r="F18" s="51"/>
      <c r="G18" s="51"/>
      <c r="H18" s="51"/>
      <c r="I18" s="51"/>
      <c r="J18" s="51"/>
      <c r="K18" s="51"/>
      <c r="L18" s="51"/>
      <c r="M18" s="57"/>
    </row>
    <row r="19" spans="2:13" ht="12.75">
      <c r="B19" s="48" t="s">
        <v>224</v>
      </c>
      <c r="C19" s="49"/>
      <c r="D19" s="83"/>
      <c r="E19" s="51"/>
      <c r="F19" s="51"/>
      <c r="G19" s="51"/>
      <c r="H19" s="51"/>
      <c r="I19" s="51"/>
      <c r="J19" s="51"/>
      <c r="K19" s="51"/>
      <c r="L19" s="51"/>
      <c r="M19" s="57"/>
    </row>
    <row r="20" spans="2:13" ht="12.75">
      <c r="B20" s="48" t="s">
        <v>225</v>
      </c>
      <c r="C20" s="49"/>
      <c r="D20" s="83"/>
      <c r="E20" s="51"/>
      <c r="F20" s="51"/>
      <c r="G20" s="51"/>
      <c r="H20" s="51"/>
      <c r="I20" s="51">
        <v>14</v>
      </c>
      <c r="J20" s="51">
        <v>27</v>
      </c>
      <c r="K20" s="51">
        <v>26</v>
      </c>
      <c r="L20" s="51">
        <v>25</v>
      </c>
      <c r="M20" s="57">
        <v>24</v>
      </c>
    </row>
    <row r="21" spans="2:13" ht="12.75">
      <c r="B21" s="48"/>
      <c r="C21" s="49"/>
      <c r="D21" s="83"/>
      <c r="E21" s="51"/>
      <c r="F21" s="51"/>
      <c r="G21" s="51"/>
      <c r="H21" s="51"/>
      <c r="I21" s="51"/>
      <c r="J21" s="51"/>
      <c r="K21" s="51"/>
      <c r="L21" s="51"/>
      <c r="M21" s="57"/>
    </row>
    <row r="22" spans="2:13" ht="12.75">
      <c r="B22" s="48" t="s">
        <v>226</v>
      </c>
      <c r="C22" s="49"/>
      <c r="D22" s="83"/>
      <c r="E22" s="51"/>
      <c r="F22" s="51"/>
      <c r="G22" s="51"/>
      <c r="H22" s="51"/>
      <c r="I22" s="51"/>
      <c r="J22" s="51"/>
      <c r="K22" s="51"/>
      <c r="L22" s="51"/>
      <c r="M22" s="57"/>
    </row>
    <row r="23" spans="2:13" ht="12.75">
      <c r="B23" s="48" t="s">
        <v>225</v>
      </c>
      <c r="C23" s="49"/>
      <c r="D23" s="83"/>
      <c r="E23" s="51"/>
      <c r="F23" s="51"/>
      <c r="G23" s="51"/>
      <c r="H23" s="51"/>
      <c r="I23" s="51"/>
      <c r="J23" s="51">
        <v>27</v>
      </c>
      <c r="K23" s="51">
        <v>54</v>
      </c>
      <c r="L23" s="51">
        <v>52</v>
      </c>
      <c r="M23" s="57">
        <v>50</v>
      </c>
    </row>
    <row r="24" spans="2:13" ht="12.75">
      <c r="B24" s="48"/>
      <c r="C24" s="49"/>
      <c r="D24" s="83"/>
      <c r="E24" s="51"/>
      <c r="F24" s="51"/>
      <c r="G24" s="51"/>
      <c r="H24" s="51"/>
      <c r="I24" s="51"/>
      <c r="J24" s="51"/>
      <c r="K24" s="51"/>
      <c r="L24" s="51"/>
      <c r="M24" s="57"/>
    </row>
    <row r="25" spans="2:13" ht="12.75">
      <c r="B25" s="60" t="s">
        <v>99</v>
      </c>
      <c r="C25" s="49"/>
      <c r="D25" s="83"/>
      <c r="E25" s="51"/>
      <c r="F25" s="51"/>
      <c r="G25" s="51"/>
      <c r="H25" s="51"/>
      <c r="I25" s="51"/>
      <c r="J25" s="51"/>
      <c r="K25" s="51"/>
      <c r="L25" s="51"/>
      <c r="M25" s="57"/>
    </row>
    <row r="26" spans="2:13" ht="12.75">
      <c r="B26" s="48" t="s">
        <v>142</v>
      </c>
      <c r="C26" s="49"/>
      <c r="D26" s="83">
        <v>0</v>
      </c>
      <c r="E26" s="51">
        <v>20</v>
      </c>
      <c r="F26" s="51">
        <v>17</v>
      </c>
      <c r="G26" s="51">
        <v>14</v>
      </c>
      <c r="H26" s="51">
        <v>12</v>
      </c>
      <c r="I26" s="51">
        <v>9</v>
      </c>
      <c r="J26" s="51">
        <v>5</v>
      </c>
      <c r="K26" s="51">
        <v>2</v>
      </c>
      <c r="L26" s="51"/>
      <c r="M26" s="57"/>
    </row>
    <row r="27" spans="2:13" ht="12.75">
      <c r="B27" s="48"/>
      <c r="C27" s="49"/>
      <c r="D27" s="83"/>
      <c r="E27" s="51"/>
      <c r="F27" s="51"/>
      <c r="G27" s="51"/>
      <c r="H27" s="51"/>
      <c r="I27" s="51"/>
      <c r="J27" s="51"/>
      <c r="K27" s="51"/>
      <c r="L27" s="51"/>
      <c r="M27" s="57"/>
    </row>
    <row r="28" spans="2:13" ht="12.75">
      <c r="B28" s="60" t="s">
        <v>143</v>
      </c>
      <c r="C28" s="49"/>
      <c r="D28" s="83"/>
      <c r="E28" s="51"/>
      <c r="F28" s="51"/>
      <c r="G28" s="51"/>
      <c r="H28" s="51"/>
      <c r="I28" s="51"/>
      <c r="J28" s="51"/>
      <c r="K28" s="51"/>
      <c r="L28" s="51"/>
      <c r="M28" s="57"/>
    </row>
    <row r="29" spans="2:13" ht="12.75">
      <c r="B29" s="48" t="s">
        <v>144</v>
      </c>
      <c r="C29" s="49"/>
      <c r="D29" s="84">
        <v>34</v>
      </c>
      <c r="E29" s="61">
        <v>58</v>
      </c>
      <c r="F29" s="61">
        <v>56</v>
      </c>
      <c r="G29" s="61">
        <v>54</v>
      </c>
      <c r="H29" s="61">
        <v>53</v>
      </c>
      <c r="I29" s="61">
        <v>51</v>
      </c>
      <c r="J29" s="61">
        <v>48</v>
      </c>
      <c r="K29" s="61">
        <v>47</v>
      </c>
      <c r="L29" s="61">
        <v>45</v>
      </c>
      <c r="M29" s="58">
        <v>42</v>
      </c>
    </row>
    <row r="30" spans="2:13" ht="12.75">
      <c r="B30" s="361" t="s">
        <v>147</v>
      </c>
      <c r="C30" s="367"/>
      <c r="D30" s="77">
        <f>SUM(D16:D29)</f>
        <v>69</v>
      </c>
      <c r="E30" s="77">
        <f aca="true" t="shared" si="1" ref="E30:M30">SUM(E16:E29)</f>
        <v>153</v>
      </c>
      <c r="F30" s="77">
        <f t="shared" si="1"/>
        <v>146</v>
      </c>
      <c r="G30" s="77">
        <f t="shared" si="1"/>
        <v>139</v>
      </c>
      <c r="H30" s="77">
        <f t="shared" si="1"/>
        <v>133</v>
      </c>
      <c r="I30" s="77">
        <f t="shared" si="1"/>
        <v>140</v>
      </c>
      <c r="J30" s="77">
        <f t="shared" si="1"/>
        <v>170</v>
      </c>
      <c r="K30" s="77">
        <f t="shared" si="1"/>
        <v>190</v>
      </c>
      <c r="L30" s="77">
        <f t="shared" si="1"/>
        <v>180</v>
      </c>
      <c r="M30" s="78">
        <f t="shared" si="1"/>
        <v>171</v>
      </c>
    </row>
    <row r="31" spans="2:13" ht="12.75">
      <c r="B31" s="336"/>
      <c r="C31" s="337"/>
      <c r="D31" s="51"/>
      <c r="E31" s="51"/>
      <c r="F31" s="51"/>
      <c r="G31" s="51"/>
      <c r="H31" s="51"/>
      <c r="I31" s="51"/>
      <c r="J31" s="51"/>
      <c r="K31" s="51"/>
      <c r="L31" s="51"/>
      <c r="M31" s="58"/>
    </row>
    <row r="32" spans="2:13" ht="12.75">
      <c r="B32" s="338" t="s">
        <v>148</v>
      </c>
      <c r="C32" s="339"/>
      <c r="D32" s="85">
        <f aca="true" t="shared" si="2" ref="D32:M32">D13+D30</f>
        <v>92</v>
      </c>
      <c r="E32" s="79">
        <f t="shared" si="2"/>
        <v>179</v>
      </c>
      <c r="F32" s="79">
        <f t="shared" si="2"/>
        <v>170</v>
      </c>
      <c r="G32" s="79">
        <f t="shared" si="2"/>
        <v>160</v>
      </c>
      <c r="H32" s="79">
        <f t="shared" si="2"/>
        <v>151</v>
      </c>
      <c r="I32" s="79">
        <f t="shared" si="2"/>
        <v>154</v>
      </c>
      <c r="J32" s="79">
        <f t="shared" si="2"/>
        <v>182</v>
      </c>
      <c r="K32" s="79">
        <f t="shared" si="2"/>
        <v>198</v>
      </c>
      <c r="L32" s="79">
        <f t="shared" si="2"/>
        <v>185</v>
      </c>
      <c r="M32" s="80">
        <f t="shared" si="2"/>
        <v>174</v>
      </c>
    </row>
    <row r="33" spans="2:13" ht="12" customHeight="1">
      <c r="B33" s="21"/>
      <c r="C33" s="22"/>
      <c r="D33" s="77"/>
      <c r="E33" s="81"/>
      <c r="F33" s="81"/>
      <c r="G33" s="81"/>
      <c r="H33" s="81"/>
      <c r="I33" s="81"/>
      <c r="J33" s="81"/>
      <c r="K33" s="81"/>
      <c r="L33" s="81"/>
      <c r="M33" s="82"/>
    </row>
    <row r="34" spans="2:13" ht="13.5" thickBot="1">
      <c r="B34" s="166"/>
      <c r="C34" s="192"/>
      <c r="D34" s="157"/>
      <c r="E34" s="152"/>
      <c r="F34" s="152"/>
      <c r="G34" s="152"/>
      <c r="H34" s="152"/>
      <c r="I34" s="152"/>
      <c r="J34" s="152"/>
      <c r="K34" s="152"/>
      <c r="L34" s="152"/>
      <c r="M34" s="153"/>
    </row>
    <row r="35" spans="2:13" ht="12.75">
      <c r="B35" s="310" t="s">
        <v>149</v>
      </c>
      <c r="C35" s="284"/>
      <c r="D35" s="311"/>
      <c r="E35" s="287"/>
      <c r="F35" s="287"/>
      <c r="G35" s="287"/>
      <c r="H35" s="287"/>
      <c r="I35" s="287"/>
      <c r="J35" s="287"/>
      <c r="K35" s="287"/>
      <c r="L35" s="287"/>
      <c r="M35" s="288"/>
    </row>
    <row r="36" spans="2:13" ht="12.75">
      <c r="B36" s="283"/>
      <c r="C36" s="284"/>
      <c r="D36" s="311"/>
      <c r="E36" s="287"/>
      <c r="F36" s="287"/>
      <c r="G36" s="287"/>
      <c r="H36" s="287"/>
      <c r="I36" s="287"/>
      <c r="J36" s="287"/>
      <c r="K36" s="287"/>
      <c r="L36" s="287"/>
      <c r="M36" s="288"/>
    </row>
    <row r="37" spans="2:13" ht="12.75">
      <c r="B37" s="48" t="s">
        <v>150</v>
      </c>
      <c r="C37" s="47"/>
      <c r="D37" s="51">
        <v>240</v>
      </c>
      <c r="E37" s="19"/>
      <c r="F37" s="19"/>
      <c r="G37" s="19"/>
      <c r="H37" s="19"/>
      <c r="I37" s="19"/>
      <c r="J37" s="19"/>
      <c r="K37" s="19"/>
      <c r="L37" s="19"/>
      <c r="M37" s="20"/>
    </row>
    <row r="38" spans="2:13" ht="12.75">
      <c r="B38" s="69" t="s">
        <v>151</v>
      </c>
      <c r="C38" s="47"/>
      <c r="D38" s="83">
        <v>9</v>
      </c>
      <c r="E38" s="19">
        <v>23</v>
      </c>
      <c r="F38" s="19">
        <v>25</v>
      </c>
      <c r="G38" s="19">
        <v>26</v>
      </c>
      <c r="H38" s="19">
        <v>28</v>
      </c>
      <c r="I38" s="19">
        <v>31</v>
      </c>
      <c r="J38" s="19">
        <v>33</v>
      </c>
      <c r="K38" s="19">
        <v>36</v>
      </c>
      <c r="L38" s="19">
        <v>29</v>
      </c>
      <c r="M38" s="20"/>
    </row>
    <row r="39" spans="2:13" ht="12.75">
      <c r="B39" s="69" t="s">
        <v>152</v>
      </c>
      <c r="C39" s="47"/>
      <c r="D39" s="51">
        <f>D37-D38</f>
        <v>231</v>
      </c>
      <c r="E39" s="19">
        <f>D39-E38</f>
        <v>208</v>
      </c>
      <c r="F39" s="19">
        <f aca="true" t="shared" si="3" ref="F39:L39">E39-F38</f>
        <v>183</v>
      </c>
      <c r="G39" s="19">
        <f t="shared" si="3"/>
        <v>157</v>
      </c>
      <c r="H39" s="19">
        <f t="shared" si="3"/>
        <v>129</v>
      </c>
      <c r="I39" s="19">
        <f t="shared" si="3"/>
        <v>98</v>
      </c>
      <c r="J39" s="19">
        <f t="shared" si="3"/>
        <v>65</v>
      </c>
      <c r="K39" s="19">
        <f t="shared" si="3"/>
        <v>29</v>
      </c>
      <c r="L39" s="19">
        <f t="shared" si="3"/>
        <v>0</v>
      </c>
      <c r="M39" s="20"/>
    </row>
    <row r="40" spans="2:13" ht="13.5" hidden="1" thickBot="1">
      <c r="B40" s="156"/>
      <c r="C40" s="155"/>
      <c r="D40" s="157"/>
      <c r="E40" s="152"/>
      <c r="F40" s="152"/>
      <c r="G40" s="152"/>
      <c r="H40" s="152"/>
      <c r="I40" s="152"/>
      <c r="J40" s="152"/>
      <c r="K40" s="152"/>
      <c r="L40" s="152"/>
      <c r="M40" s="153"/>
    </row>
    <row r="41" spans="2:13" ht="12.75">
      <c r="B41" s="69"/>
      <c r="C41" s="47"/>
      <c r="D41" s="51"/>
      <c r="E41" s="19"/>
      <c r="F41" s="19"/>
      <c r="G41" s="19"/>
      <c r="H41" s="19"/>
      <c r="I41" s="19"/>
      <c r="J41" s="19"/>
      <c r="K41" s="19"/>
      <c r="L41" s="19"/>
      <c r="M41" s="20"/>
    </row>
    <row r="42" spans="2:13" ht="12.75">
      <c r="B42" s="336" t="s">
        <v>153</v>
      </c>
      <c r="C42" s="337"/>
      <c r="D42" s="51">
        <v>110</v>
      </c>
      <c r="E42" s="19"/>
      <c r="F42" s="19"/>
      <c r="G42" s="19"/>
      <c r="H42" s="19"/>
      <c r="I42" s="19"/>
      <c r="J42" s="19"/>
      <c r="K42" s="19"/>
      <c r="L42" s="19"/>
      <c r="M42" s="20"/>
    </row>
    <row r="43" spans="2:13" ht="12.75">
      <c r="B43" s="69" t="s">
        <v>151</v>
      </c>
      <c r="C43" s="47"/>
      <c r="D43" s="83">
        <v>8</v>
      </c>
      <c r="E43" s="19">
        <v>6</v>
      </c>
      <c r="F43" s="19">
        <v>7</v>
      </c>
      <c r="G43" s="19">
        <v>7</v>
      </c>
      <c r="H43" s="19">
        <v>8</v>
      </c>
      <c r="I43" s="19">
        <v>8</v>
      </c>
      <c r="J43" s="19">
        <v>9</v>
      </c>
      <c r="K43" s="19">
        <v>9</v>
      </c>
      <c r="L43" s="19">
        <v>10</v>
      </c>
      <c r="M43" s="20">
        <v>11</v>
      </c>
    </row>
    <row r="44" spans="2:13" ht="12.75">
      <c r="B44" s="69" t="s">
        <v>152</v>
      </c>
      <c r="C44" s="47"/>
      <c r="D44" s="51">
        <f>D42-D43</f>
        <v>102</v>
      </c>
      <c r="E44" s="19">
        <f aca="true" t="shared" si="4" ref="E44:M44">D44-E43</f>
        <v>96</v>
      </c>
      <c r="F44" s="19">
        <f t="shared" si="4"/>
        <v>89</v>
      </c>
      <c r="G44" s="19">
        <f t="shared" si="4"/>
        <v>82</v>
      </c>
      <c r="H44" s="19">
        <f t="shared" si="4"/>
        <v>74</v>
      </c>
      <c r="I44" s="19">
        <f t="shared" si="4"/>
        <v>66</v>
      </c>
      <c r="J44" s="19">
        <f t="shared" si="4"/>
        <v>57</v>
      </c>
      <c r="K44" s="19">
        <f t="shared" si="4"/>
        <v>48</v>
      </c>
      <c r="L44" s="19">
        <f t="shared" si="4"/>
        <v>38</v>
      </c>
      <c r="M44" s="20">
        <f t="shared" si="4"/>
        <v>27</v>
      </c>
    </row>
    <row r="45" spans="2:13" ht="12.75">
      <c r="B45" s="69"/>
      <c r="C45" s="47"/>
      <c r="D45" s="51"/>
      <c r="E45" s="19"/>
      <c r="F45" s="19"/>
      <c r="G45" s="19"/>
      <c r="H45" s="19"/>
      <c r="I45" s="19"/>
      <c r="J45" s="19"/>
      <c r="K45" s="19"/>
      <c r="L45" s="19"/>
      <c r="M45" s="20"/>
    </row>
    <row r="46" spans="2:13" ht="12.75">
      <c r="B46" s="340" t="s">
        <v>155</v>
      </c>
      <c r="C46" s="342"/>
      <c r="D46" s="51">
        <v>29</v>
      </c>
      <c r="E46" s="2"/>
      <c r="F46" s="2"/>
      <c r="G46" s="2"/>
      <c r="H46" s="2"/>
      <c r="I46" s="2"/>
      <c r="J46" s="2"/>
      <c r="K46" s="2"/>
      <c r="L46" s="2"/>
      <c r="M46" s="7"/>
    </row>
    <row r="47" spans="2:13" ht="12.75">
      <c r="B47" s="69" t="s">
        <v>151</v>
      </c>
      <c r="C47" s="47"/>
      <c r="D47" s="83">
        <v>8</v>
      </c>
      <c r="E47" s="19">
        <v>10</v>
      </c>
      <c r="F47" s="19">
        <v>11</v>
      </c>
      <c r="G47" s="19"/>
      <c r="H47" s="19"/>
      <c r="I47" s="19"/>
      <c r="J47" s="19"/>
      <c r="K47" s="19"/>
      <c r="L47" s="19"/>
      <c r="M47" s="20"/>
    </row>
    <row r="48" spans="2:13" ht="12.75">
      <c r="B48" s="69" t="s">
        <v>152</v>
      </c>
      <c r="C48" s="47"/>
      <c r="D48" s="51">
        <f>D46-D47</f>
        <v>21</v>
      </c>
      <c r="E48" s="19">
        <f>D48-E47</f>
        <v>11</v>
      </c>
      <c r="F48" s="19">
        <f>E48-F47</f>
        <v>0</v>
      </c>
      <c r="G48" s="19"/>
      <c r="H48" s="19"/>
      <c r="I48" s="19"/>
      <c r="J48" s="19"/>
      <c r="K48" s="19"/>
      <c r="L48" s="19"/>
      <c r="M48" s="20"/>
    </row>
    <row r="49" spans="2:13" ht="12.75">
      <c r="B49" s="69"/>
      <c r="C49" s="47"/>
      <c r="D49" s="51"/>
      <c r="E49" s="19"/>
      <c r="F49" s="19"/>
      <c r="G49" s="19"/>
      <c r="H49" s="19"/>
      <c r="I49" s="19"/>
      <c r="J49" s="19"/>
      <c r="K49" s="19"/>
      <c r="L49" s="19"/>
      <c r="M49" s="20"/>
    </row>
    <row r="50" spans="2:13" ht="13.5" thickBot="1">
      <c r="B50" s="70" t="s">
        <v>156</v>
      </c>
      <c r="C50" s="71"/>
      <c r="D50" s="2"/>
      <c r="E50" s="2"/>
      <c r="F50" s="2"/>
      <c r="G50" s="2"/>
      <c r="H50" s="2"/>
      <c r="I50" s="2"/>
      <c r="J50" s="2"/>
      <c r="K50" s="2"/>
      <c r="L50" s="2"/>
      <c r="M50" s="7"/>
    </row>
    <row r="51" spans="2:13" ht="12.75">
      <c r="B51" s="72" t="s">
        <v>151</v>
      </c>
      <c r="C51" s="63"/>
      <c r="D51" s="73">
        <f aca="true" t="shared" si="5" ref="D51:M51">D38+D43+D47</f>
        <v>25</v>
      </c>
      <c r="E51" s="73">
        <f t="shared" si="5"/>
        <v>39</v>
      </c>
      <c r="F51" s="73">
        <f t="shared" si="5"/>
        <v>43</v>
      </c>
      <c r="G51" s="73">
        <f t="shared" si="5"/>
        <v>33</v>
      </c>
      <c r="H51" s="73">
        <f t="shared" si="5"/>
        <v>36</v>
      </c>
      <c r="I51" s="73">
        <f t="shared" si="5"/>
        <v>39</v>
      </c>
      <c r="J51" s="73">
        <f t="shared" si="5"/>
        <v>42</v>
      </c>
      <c r="K51" s="73">
        <f t="shared" si="5"/>
        <v>45</v>
      </c>
      <c r="L51" s="73">
        <f t="shared" si="5"/>
        <v>39</v>
      </c>
      <c r="M51" s="74">
        <f t="shared" si="5"/>
        <v>11</v>
      </c>
    </row>
    <row r="52" spans="2:13" ht="12.75">
      <c r="B52" s="72" t="s">
        <v>152</v>
      </c>
      <c r="C52" s="63"/>
      <c r="D52" s="64">
        <f aca="true" t="shared" si="6" ref="D52:M52">D39+D44+D48</f>
        <v>354</v>
      </c>
      <c r="E52" s="64">
        <f t="shared" si="6"/>
        <v>315</v>
      </c>
      <c r="F52" s="64">
        <f t="shared" si="6"/>
        <v>272</v>
      </c>
      <c r="G52" s="64">
        <f t="shared" si="6"/>
        <v>239</v>
      </c>
      <c r="H52" s="64">
        <f t="shared" si="6"/>
        <v>203</v>
      </c>
      <c r="I52" s="64">
        <f t="shared" si="6"/>
        <v>164</v>
      </c>
      <c r="J52" s="64">
        <f t="shared" si="6"/>
        <v>122</v>
      </c>
      <c r="K52" s="64">
        <f t="shared" si="6"/>
        <v>77</v>
      </c>
      <c r="L52" s="64">
        <f t="shared" si="6"/>
        <v>38</v>
      </c>
      <c r="M52" s="65">
        <f t="shared" si="6"/>
        <v>27</v>
      </c>
    </row>
    <row r="53" spans="2:13" ht="9.75" customHeight="1" thickBot="1">
      <c r="B53" s="154"/>
      <c r="C53" s="158"/>
      <c r="D53" s="110"/>
      <c r="E53" s="110"/>
      <c r="F53" s="110"/>
      <c r="G53" s="110"/>
      <c r="H53" s="110"/>
      <c r="I53" s="110"/>
      <c r="J53" s="110"/>
      <c r="K53" s="110"/>
      <c r="L53" s="110"/>
      <c r="M53" s="111"/>
    </row>
    <row r="54" spans="2:13" ht="12.75">
      <c r="B54" s="60" t="s">
        <v>113</v>
      </c>
      <c r="C54" s="49"/>
      <c r="D54" s="2"/>
      <c r="E54" s="2"/>
      <c r="F54" s="2"/>
      <c r="G54" s="2"/>
      <c r="H54" s="2"/>
      <c r="I54" s="2"/>
      <c r="J54" s="2"/>
      <c r="K54" s="2"/>
      <c r="L54" s="2"/>
      <c r="M54" s="7"/>
    </row>
    <row r="55" spans="2:13" ht="12.75">
      <c r="B55" s="48" t="s">
        <v>157</v>
      </c>
      <c r="C55" s="49"/>
      <c r="D55" s="2">
        <v>1159</v>
      </c>
      <c r="E55" s="2"/>
      <c r="F55" s="2"/>
      <c r="G55" s="2"/>
      <c r="H55" s="2"/>
      <c r="I55" s="2"/>
      <c r="J55" s="2"/>
      <c r="K55" s="2"/>
      <c r="L55" s="2"/>
      <c r="M55" s="7"/>
    </row>
    <row r="56" spans="2:13" ht="12.75">
      <c r="B56" s="48" t="s">
        <v>151</v>
      </c>
      <c r="C56" s="49"/>
      <c r="D56" s="2">
        <v>33</v>
      </c>
      <c r="E56" s="2">
        <v>29</v>
      </c>
      <c r="F56" s="2">
        <v>31</v>
      </c>
      <c r="G56" s="2">
        <v>33</v>
      </c>
      <c r="H56" s="2">
        <v>35</v>
      </c>
      <c r="I56" s="2">
        <v>38</v>
      </c>
      <c r="J56" s="2">
        <v>40</v>
      </c>
      <c r="K56" s="2">
        <v>43</v>
      </c>
      <c r="L56" s="2">
        <v>46</v>
      </c>
      <c r="M56" s="7">
        <v>49</v>
      </c>
    </row>
    <row r="57" spans="2:13" ht="12.75">
      <c r="B57" s="48" t="s">
        <v>152</v>
      </c>
      <c r="C57" s="49"/>
      <c r="D57" s="2">
        <f>D55-D56</f>
        <v>1126</v>
      </c>
      <c r="E57" s="2">
        <f>D57-E56</f>
        <v>1097</v>
      </c>
      <c r="F57" s="2">
        <f aca="true" t="shared" si="7" ref="F57:M57">E57-F56</f>
        <v>1066</v>
      </c>
      <c r="G57" s="2">
        <f t="shared" si="7"/>
        <v>1033</v>
      </c>
      <c r="H57" s="2">
        <f t="shared" si="7"/>
        <v>998</v>
      </c>
      <c r="I57" s="2">
        <f t="shared" si="7"/>
        <v>960</v>
      </c>
      <c r="J57" s="2">
        <f t="shared" si="7"/>
        <v>920</v>
      </c>
      <c r="K57" s="2">
        <f t="shared" si="7"/>
        <v>877</v>
      </c>
      <c r="L57" s="2">
        <f t="shared" si="7"/>
        <v>831</v>
      </c>
      <c r="M57" s="7">
        <f t="shared" si="7"/>
        <v>782</v>
      </c>
    </row>
    <row r="58" spans="2:13" ht="8.25" customHeight="1">
      <c r="B58" s="48"/>
      <c r="C58" s="49"/>
      <c r="D58" s="2"/>
      <c r="E58" s="2"/>
      <c r="F58" s="2"/>
      <c r="G58" s="2"/>
      <c r="H58" s="2"/>
      <c r="I58" s="2"/>
      <c r="J58" s="2"/>
      <c r="K58" s="2"/>
      <c r="L58" s="2"/>
      <c r="M58" s="7"/>
    </row>
    <row r="59" spans="2:13" ht="12.75">
      <c r="B59" s="60" t="s">
        <v>99</v>
      </c>
      <c r="C59" s="49"/>
      <c r="D59" s="2"/>
      <c r="E59" s="2"/>
      <c r="F59" s="2"/>
      <c r="G59" s="2"/>
      <c r="H59" s="2"/>
      <c r="I59" s="2"/>
      <c r="J59" s="2"/>
      <c r="K59" s="2"/>
      <c r="L59" s="2"/>
      <c r="M59" s="7"/>
    </row>
    <row r="60" spans="2:13" ht="12.75">
      <c r="B60" s="48" t="s">
        <v>158</v>
      </c>
      <c r="C60" s="49"/>
      <c r="F60" s="2"/>
      <c r="G60" s="2"/>
      <c r="H60" s="2"/>
      <c r="I60" s="2"/>
      <c r="J60" s="2"/>
      <c r="K60" s="2"/>
      <c r="L60" s="2"/>
      <c r="M60" s="7"/>
    </row>
    <row r="61" spans="2:13" ht="12.75">
      <c r="B61" s="48" t="s">
        <v>151</v>
      </c>
      <c r="C61" s="49"/>
      <c r="D61" s="2"/>
      <c r="E61" s="2">
        <v>37</v>
      </c>
      <c r="F61" s="2">
        <v>40</v>
      </c>
      <c r="G61" s="2">
        <v>43</v>
      </c>
      <c r="H61" s="2">
        <v>45</v>
      </c>
      <c r="I61" s="2">
        <v>48</v>
      </c>
      <c r="J61" s="2">
        <v>52</v>
      </c>
      <c r="K61" s="2">
        <v>55</v>
      </c>
      <c r="L61" s="2"/>
      <c r="M61" s="7"/>
    </row>
    <row r="62" spans="2:13" ht="12.75">
      <c r="B62" s="48" t="s">
        <v>152</v>
      </c>
      <c r="C62" s="49"/>
      <c r="D62" s="2">
        <v>320</v>
      </c>
      <c r="E62" s="2">
        <f>D62-E61</f>
        <v>283</v>
      </c>
      <c r="F62" s="2">
        <f aca="true" t="shared" si="8" ref="F62:K62">E62-F61</f>
        <v>243</v>
      </c>
      <c r="G62" s="2">
        <f t="shared" si="8"/>
        <v>200</v>
      </c>
      <c r="H62" s="2">
        <f t="shared" si="8"/>
        <v>155</v>
      </c>
      <c r="I62" s="2">
        <f t="shared" si="8"/>
        <v>107</v>
      </c>
      <c r="J62" s="2">
        <f t="shared" si="8"/>
        <v>55</v>
      </c>
      <c r="K62" s="2">
        <f t="shared" si="8"/>
        <v>0</v>
      </c>
      <c r="L62" s="2"/>
      <c r="M62" s="7"/>
    </row>
    <row r="63" spans="2:13" ht="8.25" customHeight="1">
      <c r="B63" s="48"/>
      <c r="C63" s="49"/>
      <c r="D63" s="2"/>
      <c r="E63" s="2"/>
      <c r="F63" s="2"/>
      <c r="G63" s="2"/>
      <c r="H63" s="2"/>
      <c r="I63" s="2"/>
      <c r="J63" s="2"/>
      <c r="K63" s="2"/>
      <c r="L63" s="2"/>
      <c r="M63" s="7"/>
    </row>
    <row r="64" spans="2:13" ht="12.75">
      <c r="B64" s="60" t="s">
        <v>143</v>
      </c>
      <c r="C64" s="49"/>
      <c r="D64" s="2"/>
      <c r="E64" s="2"/>
      <c r="F64" s="2"/>
      <c r="G64" s="2"/>
      <c r="H64" s="2"/>
      <c r="I64" s="2"/>
      <c r="J64" s="2"/>
      <c r="K64" s="2"/>
      <c r="L64" s="2"/>
      <c r="M64" s="7"/>
    </row>
    <row r="65" spans="2:13" ht="12.75">
      <c r="B65" s="48" t="s">
        <v>159</v>
      </c>
      <c r="C65" s="49"/>
      <c r="D65" s="2">
        <v>904</v>
      </c>
      <c r="E65" s="2"/>
      <c r="F65" s="2"/>
      <c r="G65" s="2"/>
      <c r="H65" s="2"/>
      <c r="I65" s="2"/>
      <c r="J65" s="2"/>
      <c r="K65" s="2"/>
      <c r="L65" s="2"/>
      <c r="M65" s="7"/>
    </row>
    <row r="66" spans="2:13" ht="12.75">
      <c r="B66" s="48" t="s">
        <v>151</v>
      </c>
      <c r="C66" s="49"/>
      <c r="D66" s="2">
        <v>25</v>
      </c>
      <c r="E66" s="2">
        <v>23</v>
      </c>
      <c r="F66" s="2">
        <v>24</v>
      </c>
      <c r="G66" s="2">
        <v>26</v>
      </c>
      <c r="H66" s="2">
        <v>28</v>
      </c>
      <c r="I66" s="2">
        <v>30</v>
      </c>
      <c r="J66" s="2">
        <v>32</v>
      </c>
      <c r="K66" s="2">
        <v>34</v>
      </c>
      <c r="L66" s="2">
        <v>36</v>
      </c>
      <c r="M66" s="7">
        <v>38</v>
      </c>
    </row>
    <row r="67" spans="2:13" ht="12.75">
      <c r="B67" s="48" t="s">
        <v>152</v>
      </c>
      <c r="C67" s="49"/>
      <c r="D67" s="2">
        <f>D65-D66</f>
        <v>879</v>
      </c>
      <c r="E67" s="2">
        <f>D67-E66</f>
        <v>856</v>
      </c>
      <c r="F67" s="2">
        <f aca="true" t="shared" si="9" ref="F67:M67">E67-F66</f>
        <v>832</v>
      </c>
      <c r="G67" s="2">
        <f t="shared" si="9"/>
        <v>806</v>
      </c>
      <c r="H67" s="2">
        <f t="shared" si="9"/>
        <v>778</v>
      </c>
      <c r="I67" s="2">
        <f t="shared" si="9"/>
        <v>748</v>
      </c>
      <c r="J67" s="2">
        <f t="shared" si="9"/>
        <v>716</v>
      </c>
      <c r="K67" s="2">
        <f t="shared" si="9"/>
        <v>682</v>
      </c>
      <c r="L67" s="2">
        <f t="shared" si="9"/>
        <v>646</v>
      </c>
      <c r="M67" s="7">
        <f t="shared" si="9"/>
        <v>608</v>
      </c>
    </row>
    <row r="68" spans="2:13" ht="10.5" customHeight="1">
      <c r="B68" s="48"/>
      <c r="C68" s="49"/>
      <c r="D68" s="2"/>
      <c r="E68" s="2"/>
      <c r="F68" s="2"/>
      <c r="G68" s="2"/>
      <c r="H68" s="2"/>
      <c r="I68" s="2"/>
      <c r="J68" s="2"/>
      <c r="K68" s="2"/>
      <c r="L68" s="2"/>
      <c r="M68" s="7"/>
    </row>
    <row r="69" spans="2:13" ht="12.75">
      <c r="B69" s="60" t="s">
        <v>223</v>
      </c>
      <c r="C69" s="49"/>
      <c r="D69" s="2"/>
      <c r="E69" s="2"/>
      <c r="F69" s="2"/>
      <c r="G69" s="2"/>
      <c r="H69" s="2"/>
      <c r="I69" s="2"/>
      <c r="J69" s="2"/>
      <c r="K69" s="2"/>
      <c r="L69" s="2"/>
      <c r="M69" s="7"/>
    </row>
    <row r="70" spans="2:13" ht="12.75">
      <c r="B70" s="48" t="s">
        <v>224</v>
      </c>
      <c r="C70" s="49"/>
      <c r="D70" s="2"/>
      <c r="E70" s="2"/>
      <c r="F70" s="2"/>
      <c r="G70" s="2"/>
      <c r="H70" s="2"/>
      <c r="I70" s="2">
        <v>500</v>
      </c>
      <c r="J70" s="2"/>
      <c r="K70" s="2"/>
      <c r="L70" s="2"/>
      <c r="M70" s="7"/>
    </row>
    <row r="71" spans="2:13" ht="12.75">
      <c r="B71" s="48" t="s">
        <v>151</v>
      </c>
      <c r="C71" s="49"/>
      <c r="D71" s="2"/>
      <c r="E71" s="2"/>
      <c r="F71" s="2"/>
      <c r="G71" s="2"/>
      <c r="H71" s="2"/>
      <c r="I71" s="2">
        <v>7</v>
      </c>
      <c r="J71" s="2">
        <v>15</v>
      </c>
      <c r="K71" s="2">
        <v>15</v>
      </c>
      <c r="L71" s="2">
        <v>16</v>
      </c>
      <c r="M71" s="7">
        <v>17</v>
      </c>
    </row>
    <row r="72" spans="2:13" ht="12.75">
      <c r="B72" s="48" t="s">
        <v>152</v>
      </c>
      <c r="C72" s="49"/>
      <c r="D72" s="2"/>
      <c r="E72" s="2"/>
      <c r="F72" s="2"/>
      <c r="G72" s="2"/>
      <c r="H72" s="2"/>
      <c r="I72" s="2">
        <f>I70-I71</f>
        <v>493</v>
      </c>
      <c r="J72" s="2">
        <f>I72-J71</f>
        <v>478</v>
      </c>
      <c r="K72" s="2">
        <f>J72-K71</f>
        <v>463</v>
      </c>
      <c r="L72" s="2">
        <f>K72-L71</f>
        <v>447</v>
      </c>
      <c r="M72" s="7">
        <f>L72-M71</f>
        <v>430</v>
      </c>
    </row>
    <row r="73" spans="2:13" ht="12.75">
      <c r="B73" s="48" t="s">
        <v>226</v>
      </c>
      <c r="C73" s="49"/>
      <c r="D73" s="2"/>
      <c r="E73" s="2"/>
      <c r="F73" s="2"/>
      <c r="G73" s="2"/>
      <c r="H73" s="2"/>
      <c r="I73" s="2"/>
      <c r="J73" s="2">
        <v>1000</v>
      </c>
      <c r="K73" s="2"/>
      <c r="L73" s="2"/>
      <c r="M73" s="7"/>
    </row>
    <row r="74" spans="2:13" ht="12.75">
      <c r="B74" s="48" t="s">
        <v>151</v>
      </c>
      <c r="C74" s="49"/>
      <c r="D74" s="2"/>
      <c r="E74" s="2"/>
      <c r="F74" s="2"/>
      <c r="G74" s="2"/>
      <c r="H74" s="2"/>
      <c r="I74" s="2"/>
      <c r="J74" s="2">
        <v>14</v>
      </c>
      <c r="K74" s="2">
        <v>29</v>
      </c>
      <c r="L74" s="2">
        <v>31</v>
      </c>
      <c r="M74" s="7">
        <v>32</v>
      </c>
    </row>
    <row r="75" spans="2:13" ht="12.75">
      <c r="B75" s="48" t="s">
        <v>152</v>
      </c>
      <c r="C75" s="49"/>
      <c r="D75" s="2"/>
      <c r="E75" s="2"/>
      <c r="F75" s="2"/>
      <c r="G75" s="2"/>
      <c r="H75" s="2"/>
      <c r="I75" s="2"/>
      <c r="J75" s="2">
        <f>J73-J74</f>
        <v>986</v>
      </c>
      <c r="K75" s="2">
        <f>J75-K74</f>
        <v>957</v>
      </c>
      <c r="L75" s="2">
        <f>K75-L74</f>
        <v>926</v>
      </c>
      <c r="M75" s="7">
        <f>L75-M74</f>
        <v>894</v>
      </c>
    </row>
    <row r="76" spans="2:13" ht="9.75" customHeight="1">
      <c r="B76" s="48"/>
      <c r="C76" s="49"/>
      <c r="D76" s="2"/>
      <c r="E76" s="2"/>
      <c r="F76" s="2"/>
      <c r="G76" s="2"/>
      <c r="H76" s="2"/>
      <c r="I76" s="2"/>
      <c r="J76" s="2"/>
      <c r="K76" s="2"/>
      <c r="L76" s="2"/>
      <c r="M76" s="7"/>
    </row>
    <row r="77" spans="2:13" ht="13.5" thickBot="1">
      <c r="B77" s="60" t="s">
        <v>160</v>
      </c>
      <c r="C77" s="62"/>
      <c r="D77" s="2"/>
      <c r="E77" s="2"/>
      <c r="F77" s="2"/>
      <c r="G77" s="2"/>
      <c r="H77" s="2"/>
      <c r="I77" s="2"/>
      <c r="J77" s="2"/>
      <c r="K77" s="2"/>
      <c r="L77" s="2"/>
      <c r="M77" s="7"/>
    </row>
    <row r="78" spans="2:13" ht="12.75">
      <c r="B78" s="60" t="s">
        <v>151</v>
      </c>
      <c r="C78" s="62"/>
      <c r="D78" s="73">
        <f>D56+D61+D66+D71+D74</f>
        <v>58</v>
      </c>
      <c r="E78" s="73">
        <f aca="true" t="shared" si="10" ref="E78:M78">E56+E61+E66+E71+E74</f>
        <v>89</v>
      </c>
      <c r="F78" s="73">
        <f t="shared" si="10"/>
        <v>95</v>
      </c>
      <c r="G78" s="73">
        <f t="shared" si="10"/>
        <v>102</v>
      </c>
      <c r="H78" s="73">
        <f t="shared" si="10"/>
        <v>108</v>
      </c>
      <c r="I78" s="73">
        <f t="shared" si="10"/>
        <v>123</v>
      </c>
      <c r="J78" s="73">
        <f t="shared" si="10"/>
        <v>153</v>
      </c>
      <c r="K78" s="73">
        <f t="shared" si="10"/>
        <v>176</v>
      </c>
      <c r="L78" s="73">
        <f t="shared" si="10"/>
        <v>129</v>
      </c>
      <c r="M78" s="74">
        <f t="shared" si="10"/>
        <v>136</v>
      </c>
    </row>
    <row r="79" spans="2:13" ht="13.5" thickBot="1">
      <c r="B79" s="334" t="s">
        <v>152</v>
      </c>
      <c r="C79" s="335"/>
      <c r="D79" s="75">
        <f>D57+D62+D67+D72+D75</f>
        <v>2325</v>
      </c>
      <c r="E79" s="75">
        <f aca="true" t="shared" si="11" ref="E79:M79">E57+E62+E67+E72+E75</f>
        <v>2236</v>
      </c>
      <c r="F79" s="75">
        <f t="shared" si="11"/>
        <v>2141</v>
      </c>
      <c r="G79" s="75">
        <f t="shared" si="11"/>
        <v>2039</v>
      </c>
      <c r="H79" s="75">
        <f t="shared" si="11"/>
        <v>1931</v>
      </c>
      <c r="I79" s="75">
        <f t="shared" si="11"/>
        <v>2308</v>
      </c>
      <c r="J79" s="75">
        <f t="shared" si="11"/>
        <v>3155</v>
      </c>
      <c r="K79" s="75">
        <f t="shared" si="11"/>
        <v>2979</v>
      </c>
      <c r="L79" s="75">
        <f t="shared" si="11"/>
        <v>2850</v>
      </c>
      <c r="M79" s="76">
        <f t="shared" si="11"/>
        <v>2714</v>
      </c>
    </row>
    <row r="80" spans="2:13" ht="12.75">
      <c r="B80" s="60"/>
      <c r="C80" s="63"/>
      <c r="D80" s="64"/>
      <c r="E80" s="64"/>
      <c r="F80" s="64"/>
      <c r="G80" s="64"/>
      <c r="H80" s="64"/>
      <c r="I80" s="64"/>
      <c r="J80" s="64"/>
      <c r="K80" s="64"/>
      <c r="L80" s="64"/>
      <c r="M80" s="65"/>
    </row>
    <row r="81" spans="2:13" ht="13.5" thickBot="1">
      <c r="B81" s="60" t="s">
        <v>161</v>
      </c>
      <c r="C81" s="63"/>
      <c r="D81" s="64"/>
      <c r="E81" s="64"/>
      <c r="F81" s="64"/>
      <c r="G81" s="64"/>
      <c r="H81" s="64"/>
      <c r="I81" s="64"/>
      <c r="J81" s="64"/>
      <c r="K81" s="64"/>
      <c r="L81" s="64"/>
      <c r="M81" s="65"/>
    </row>
    <row r="82" spans="2:13" ht="12.75">
      <c r="B82" s="60" t="s">
        <v>151</v>
      </c>
      <c r="C82" s="63"/>
      <c r="D82" s="319">
        <f aca="true" t="shared" si="12" ref="D82:M82">D51+D78</f>
        <v>83</v>
      </c>
      <c r="E82" s="319">
        <f t="shared" si="12"/>
        <v>128</v>
      </c>
      <c r="F82" s="319">
        <f t="shared" si="12"/>
        <v>138</v>
      </c>
      <c r="G82" s="319">
        <f t="shared" si="12"/>
        <v>135</v>
      </c>
      <c r="H82" s="319">
        <f t="shared" si="12"/>
        <v>144</v>
      </c>
      <c r="I82" s="319">
        <f t="shared" si="12"/>
        <v>162</v>
      </c>
      <c r="J82" s="319">
        <f t="shared" si="12"/>
        <v>195</v>
      </c>
      <c r="K82" s="319">
        <f t="shared" si="12"/>
        <v>221</v>
      </c>
      <c r="L82" s="319">
        <f t="shared" si="12"/>
        <v>168</v>
      </c>
      <c r="M82" s="320">
        <f t="shared" si="12"/>
        <v>147</v>
      </c>
    </row>
    <row r="83" spans="2:13" ht="13.5" thickBot="1">
      <c r="B83" s="66" t="s">
        <v>152</v>
      </c>
      <c r="C83" s="63"/>
      <c r="D83" s="321">
        <f aca="true" t="shared" si="13" ref="D83:M83">D52+D79</f>
        <v>2679</v>
      </c>
      <c r="E83" s="321">
        <f t="shared" si="13"/>
        <v>2551</v>
      </c>
      <c r="F83" s="321">
        <f t="shared" si="13"/>
        <v>2413</v>
      </c>
      <c r="G83" s="321">
        <f t="shared" si="13"/>
        <v>2278</v>
      </c>
      <c r="H83" s="321">
        <f t="shared" si="13"/>
        <v>2134</v>
      </c>
      <c r="I83" s="321">
        <f t="shared" si="13"/>
        <v>2472</v>
      </c>
      <c r="J83" s="321">
        <f t="shared" si="13"/>
        <v>3277</v>
      </c>
      <c r="K83" s="321">
        <f t="shared" si="13"/>
        <v>3056</v>
      </c>
      <c r="L83" s="321">
        <f t="shared" si="13"/>
        <v>2888</v>
      </c>
      <c r="M83" s="322">
        <f t="shared" si="13"/>
        <v>2741</v>
      </c>
    </row>
    <row r="84" spans="2:13" ht="13.5" thickBot="1">
      <c r="B84" s="3"/>
      <c r="C84" s="4"/>
      <c r="D84" s="67"/>
      <c r="E84" s="67"/>
      <c r="F84" s="67"/>
      <c r="G84" s="67"/>
      <c r="H84" s="67"/>
      <c r="I84" s="67"/>
      <c r="J84" s="67"/>
      <c r="K84" s="67"/>
      <c r="L84" s="67"/>
      <c r="M84" s="68"/>
    </row>
  </sheetData>
  <mergeCells count="12">
    <mergeCell ref="B11:C11"/>
    <mergeCell ref="B12:C12"/>
    <mergeCell ref="B30:C30"/>
    <mergeCell ref="B2:M2"/>
    <mergeCell ref="B3:M3"/>
    <mergeCell ref="B4:M4"/>
    <mergeCell ref="B9:C9"/>
    <mergeCell ref="B79:C79"/>
    <mergeCell ref="B46:C46"/>
    <mergeCell ref="B31:C31"/>
    <mergeCell ref="B32:C32"/>
    <mergeCell ref="B42:C4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Footer>&amp;CPage &amp;P of &amp;N</oddFooter>
  </headerFooter>
  <rowBreaks count="2" manualBreakCount="2">
    <brk id="34" min="1" max="12" man="1"/>
    <brk id="53" min="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N73"/>
  <sheetViews>
    <sheetView zoomScaleSheetLayoutView="100" workbookViewId="0" topLeftCell="A1">
      <selection activeCell="B2" sqref="B2:N2"/>
    </sheetView>
  </sheetViews>
  <sheetFormatPr defaultColWidth="9.140625" defaultRowHeight="12.75"/>
  <cols>
    <col min="1" max="1" width="5.28125" style="0" customWidth="1"/>
    <col min="2" max="2" width="6.7109375" style="0" customWidth="1"/>
    <col min="3" max="3" width="8.28125" style="0" customWidth="1"/>
    <col min="4" max="4" width="26.7109375" style="0" bestFit="1" customWidth="1"/>
    <col min="5" max="8" width="11.00390625" style="0" customWidth="1"/>
    <col min="9" max="9" width="11.140625" style="0" customWidth="1"/>
    <col min="10" max="14" width="11.00390625" style="0" customWidth="1"/>
  </cols>
  <sheetData>
    <row r="1" ht="13.5" thickBot="1"/>
    <row r="2" spans="2:14" ht="23.25">
      <c r="B2" s="343" t="s">
        <v>352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5"/>
    </row>
    <row r="3" spans="2:14" ht="21">
      <c r="B3" s="346" t="s">
        <v>227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8"/>
    </row>
    <row r="4" spans="2:14" ht="16.5" thickBot="1">
      <c r="B4" s="349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1"/>
    </row>
    <row r="5" spans="2:14" ht="12.75">
      <c r="B5" s="11"/>
      <c r="C5" s="12"/>
      <c r="D5" s="12"/>
      <c r="E5" s="9" t="s">
        <v>0</v>
      </c>
      <c r="F5" s="9" t="s">
        <v>1</v>
      </c>
      <c r="G5" s="9" t="s">
        <v>2</v>
      </c>
      <c r="H5" s="9" t="s">
        <v>3</v>
      </c>
      <c r="I5" s="9" t="s">
        <v>4</v>
      </c>
      <c r="J5" s="9" t="s">
        <v>5</v>
      </c>
      <c r="K5" s="9" t="s">
        <v>6</v>
      </c>
      <c r="L5" s="9" t="s">
        <v>7</v>
      </c>
      <c r="M5" s="9" t="s">
        <v>8</v>
      </c>
      <c r="N5" s="10" t="s">
        <v>9</v>
      </c>
    </row>
    <row r="6" spans="2:14" ht="13.5" thickBot="1">
      <c r="B6" s="13"/>
      <c r="C6" s="14"/>
      <c r="D6" s="14"/>
      <c r="E6" s="15" t="s">
        <v>119</v>
      </c>
      <c r="F6" s="15" t="s">
        <v>119</v>
      </c>
      <c r="G6" s="15" t="s">
        <v>119</v>
      </c>
      <c r="H6" s="15" t="s">
        <v>119</v>
      </c>
      <c r="I6" s="15" t="s">
        <v>119</v>
      </c>
      <c r="J6" s="15" t="s">
        <v>119</v>
      </c>
      <c r="K6" s="15" t="s">
        <v>119</v>
      </c>
      <c r="L6" s="15" t="s">
        <v>119</v>
      </c>
      <c r="M6" s="15" t="s">
        <v>119</v>
      </c>
      <c r="N6" s="16" t="s">
        <v>119</v>
      </c>
    </row>
    <row r="7" spans="2:14" ht="12.75">
      <c r="B7" s="299"/>
      <c r="C7" s="284"/>
      <c r="D7" s="300" t="s">
        <v>256</v>
      </c>
      <c r="E7" s="281"/>
      <c r="F7" s="281"/>
      <c r="G7" s="281"/>
      <c r="H7" s="281"/>
      <c r="I7" s="281"/>
      <c r="J7" s="281"/>
      <c r="K7" s="281"/>
      <c r="L7" s="281"/>
      <c r="M7" s="281"/>
      <c r="N7" s="282"/>
    </row>
    <row r="8" spans="2:14" ht="12.75">
      <c r="B8" s="301"/>
      <c r="C8" s="302"/>
      <c r="D8" s="302"/>
      <c r="E8" s="284"/>
      <c r="F8" s="284"/>
      <c r="G8" s="284"/>
      <c r="H8" s="284"/>
      <c r="I8" s="284"/>
      <c r="J8" s="284"/>
      <c r="K8" s="284"/>
      <c r="L8" s="284"/>
      <c r="M8" s="284"/>
      <c r="N8" s="285"/>
    </row>
    <row r="9" spans="2:14" ht="12.75">
      <c r="B9" s="303" t="s">
        <v>162</v>
      </c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5"/>
    </row>
    <row r="10" spans="2:14" ht="12.75">
      <c r="B10" s="98"/>
      <c r="C10" s="99"/>
      <c r="D10" s="99"/>
      <c r="F10" s="99"/>
      <c r="G10" s="99"/>
      <c r="H10" s="99"/>
      <c r="I10" s="99"/>
      <c r="J10" s="99"/>
      <c r="K10" s="99"/>
      <c r="L10" s="99"/>
      <c r="M10" s="99"/>
      <c r="N10" s="100"/>
    </row>
    <row r="11" spans="2:14" ht="12.75">
      <c r="B11" s="44" t="s">
        <v>163</v>
      </c>
      <c r="C11" s="45"/>
      <c r="D11" s="45"/>
      <c r="E11" s="103">
        <v>3421</v>
      </c>
      <c r="F11" s="104"/>
      <c r="G11" s="105"/>
      <c r="H11" s="105"/>
      <c r="I11" s="105"/>
      <c r="J11" s="105"/>
      <c r="K11" s="105"/>
      <c r="L11" s="105"/>
      <c r="M11" s="105"/>
      <c r="N11" s="106"/>
    </row>
    <row r="12" spans="2:14" ht="12.75">
      <c r="B12" s="44" t="s">
        <v>228</v>
      </c>
      <c r="C12" s="117"/>
      <c r="D12" s="117"/>
      <c r="E12" s="118">
        <v>1579</v>
      </c>
      <c r="F12" s="104"/>
      <c r="G12" s="105"/>
      <c r="H12" s="105"/>
      <c r="I12" s="105"/>
      <c r="J12" s="105"/>
      <c r="K12" s="105"/>
      <c r="L12" s="105"/>
      <c r="M12" s="105"/>
      <c r="N12" s="106"/>
    </row>
    <row r="13" spans="2:14" ht="12.75">
      <c r="B13" s="44" t="s">
        <v>230</v>
      </c>
      <c r="C13" s="117"/>
      <c r="D13" s="117"/>
      <c r="E13" s="103"/>
      <c r="F13" s="104">
        <v>1250</v>
      </c>
      <c r="G13" s="105"/>
      <c r="H13" s="105">
        <v>75</v>
      </c>
      <c r="I13" s="105">
        <v>400</v>
      </c>
      <c r="J13" s="105">
        <v>300</v>
      </c>
      <c r="K13" s="105">
        <v>100</v>
      </c>
      <c r="L13" s="105">
        <v>500</v>
      </c>
      <c r="M13" s="105">
        <v>275</v>
      </c>
      <c r="N13" s="106">
        <v>300</v>
      </c>
    </row>
    <row r="14" spans="2:14" ht="12.75">
      <c r="B14" s="44" t="s">
        <v>231</v>
      </c>
      <c r="C14" s="117"/>
      <c r="D14" s="117"/>
      <c r="E14" s="159"/>
      <c r="F14" s="159">
        <v>-2150</v>
      </c>
      <c r="G14" s="159">
        <v>-2521</v>
      </c>
      <c r="H14" s="160"/>
      <c r="I14" s="160"/>
      <c r="J14" s="160"/>
      <c r="K14" s="160"/>
      <c r="L14" s="160"/>
      <c r="M14" s="160"/>
      <c r="N14" s="161"/>
    </row>
    <row r="15" spans="2:14" ht="12.75">
      <c r="B15" s="44" t="s">
        <v>244</v>
      </c>
      <c r="C15" s="117"/>
      <c r="D15" s="117"/>
      <c r="E15" s="120">
        <f>SUM(E11:E14)</f>
        <v>5000</v>
      </c>
      <c r="F15" s="120">
        <f aca="true" t="shared" si="0" ref="F15:N15">SUM(F11:F14)+E15</f>
        <v>4100</v>
      </c>
      <c r="G15" s="120">
        <f t="shared" si="0"/>
        <v>1579</v>
      </c>
      <c r="H15" s="120">
        <f t="shared" si="0"/>
        <v>1654</v>
      </c>
      <c r="I15" s="120">
        <f t="shared" si="0"/>
        <v>2054</v>
      </c>
      <c r="J15" s="120">
        <f t="shared" si="0"/>
        <v>2354</v>
      </c>
      <c r="K15" s="120">
        <f t="shared" si="0"/>
        <v>2454</v>
      </c>
      <c r="L15" s="120">
        <f t="shared" si="0"/>
        <v>2954</v>
      </c>
      <c r="M15" s="120">
        <f t="shared" si="0"/>
        <v>3229</v>
      </c>
      <c r="N15" s="233">
        <f t="shared" si="0"/>
        <v>3529</v>
      </c>
    </row>
    <row r="16" spans="2:14" ht="11.25" customHeight="1">
      <c r="B16" s="44"/>
      <c r="C16" s="117"/>
      <c r="D16" s="117"/>
      <c r="E16" s="103"/>
      <c r="F16" s="104"/>
      <c r="G16" s="105"/>
      <c r="H16" s="105"/>
      <c r="I16" s="105"/>
      <c r="J16" s="105"/>
      <c r="K16" s="105"/>
      <c r="L16" s="105"/>
      <c r="M16" s="105"/>
      <c r="N16" s="106"/>
    </row>
    <row r="17" spans="2:14" ht="12.75">
      <c r="B17" s="44" t="s">
        <v>229</v>
      </c>
      <c r="C17" s="117"/>
      <c r="D17" s="117"/>
      <c r="E17" s="103">
        <v>17523</v>
      </c>
      <c r="F17" s="104"/>
      <c r="G17" s="105"/>
      <c r="H17" s="105"/>
      <c r="I17" s="105"/>
      <c r="J17" s="105"/>
      <c r="K17" s="105"/>
      <c r="L17" s="105"/>
      <c r="M17" s="105"/>
      <c r="N17" s="106"/>
    </row>
    <row r="18" spans="2:14" ht="12.75">
      <c r="B18" s="44" t="s">
        <v>232</v>
      </c>
      <c r="C18" s="117"/>
      <c r="D18" s="117"/>
      <c r="E18" s="103">
        <v>829</v>
      </c>
      <c r="F18" s="104">
        <v>900</v>
      </c>
      <c r="G18" s="105">
        <v>1950</v>
      </c>
      <c r="H18" s="105">
        <v>2000</v>
      </c>
      <c r="I18" s="105">
        <v>2150</v>
      </c>
      <c r="J18" s="105">
        <v>5400</v>
      </c>
      <c r="K18" s="105">
        <v>6600</v>
      </c>
      <c r="L18" s="105">
        <v>3050</v>
      </c>
      <c r="M18" s="105">
        <v>3150</v>
      </c>
      <c r="N18" s="106">
        <v>3150</v>
      </c>
    </row>
    <row r="19" spans="2:14" ht="12.75">
      <c r="B19" s="44" t="s">
        <v>233</v>
      </c>
      <c r="C19" s="117"/>
      <c r="D19" s="117"/>
      <c r="E19" s="159">
        <v>0</v>
      </c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59">
        <v>0</v>
      </c>
      <c r="N19" s="162">
        <v>0</v>
      </c>
    </row>
    <row r="20" spans="2:14" ht="12.75">
      <c r="B20" s="44" t="s">
        <v>245</v>
      </c>
      <c r="C20" s="117"/>
      <c r="D20" s="117"/>
      <c r="E20" s="103">
        <f>SUM(E17:E19)</f>
        <v>18352</v>
      </c>
      <c r="F20" s="104">
        <f aca="true" t="shared" si="1" ref="F20:N20">E22+SUM(F18:F19)</f>
        <v>19252</v>
      </c>
      <c r="G20" s="104">
        <f t="shared" si="1"/>
        <v>20731.95</v>
      </c>
      <c r="H20" s="104">
        <f t="shared" si="1"/>
        <v>22238.02625</v>
      </c>
      <c r="I20" s="104">
        <f t="shared" si="1"/>
        <v>23857.07559375</v>
      </c>
      <c r="J20" s="104">
        <f t="shared" si="1"/>
        <v>28687.52370390625</v>
      </c>
      <c r="K20" s="104">
        <f t="shared" si="1"/>
        <v>34637.83561130859</v>
      </c>
      <c r="L20" s="104">
        <f t="shared" si="1"/>
        <v>36904.38972102587</v>
      </c>
      <c r="M20" s="104">
        <f t="shared" si="1"/>
        <v>39169.904978000224</v>
      </c>
      <c r="N20" s="234">
        <f t="shared" si="1"/>
        <v>41380.03235355022</v>
      </c>
    </row>
    <row r="21" spans="2:14" ht="12.75">
      <c r="B21" s="44" t="s">
        <v>246</v>
      </c>
      <c r="C21" s="117"/>
      <c r="D21" s="117"/>
      <c r="E21" s="121"/>
      <c r="F21" s="159">
        <f>(E22*-0.025)+F18*(-0.025/2)</f>
        <v>-470.05</v>
      </c>
      <c r="G21" s="159">
        <f aca="true" t="shared" si="2" ref="G21:N21">(F22*-0.025)+G18*(-0.025/2)</f>
        <v>-493.92375000000004</v>
      </c>
      <c r="H21" s="159">
        <f t="shared" si="2"/>
        <v>-530.9506562500001</v>
      </c>
      <c r="I21" s="159">
        <f t="shared" si="2"/>
        <v>-569.55188984375</v>
      </c>
      <c r="J21" s="159">
        <f t="shared" si="2"/>
        <v>-649.6880925976562</v>
      </c>
      <c r="K21" s="159">
        <f t="shared" si="2"/>
        <v>-783.4458902827149</v>
      </c>
      <c r="L21" s="159">
        <f t="shared" si="2"/>
        <v>-884.4847430256468</v>
      </c>
      <c r="M21" s="159">
        <f t="shared" si="2"/>
        <v>-939.8726244500057</v>
      </c>
      <c r="N21" s="162">
        <f t="shared" si="2"/>
        <v>-995.1258088387555</v>
      </c>
    </row>
    <row r="22" spans="2:14" ht="12.75">
      <c r="B22" s="86" t="s">
        <v>229</v>
      </c>
      <c r="C22" s="122"/>
      <c r="D22" s="122"/>
      <c r="E22" s="120">
        <f aca="true" t="shared" si="3" ref="E22:N22">SUM(E20:E21)</f>
        <v>18352</v>
      </c>
      <c r="F22" s="119">
        <f t="shared" si="3"/>
        <v>18781.95</v>
      </c>
      <c r="G22" s="119">
        <f t="shared" si="3"/>
        <v>20238.02625</v>
      </c>
      <c r="H22" s="119">
        <f t="shared" si="3"/>
        <v>21707.07559375</v>
      </c>
      <c r="I22" s="119">
        <f t="shared" si="3"/>
        <v>23287.52370390625</v>
      </c>
      <c r="J22" s="119">
        <f t="shared" si="3"/>
        <v>28037.835611308594</v>
      </c>
      <c r="K22" s="119">
        <f t="shared" si="3"/>
        <v>33854.38972102587</v>
      </c>
      <c r="L22" s="119">
        <f t="shared" si="3"/>
        <v>36019.904978000224</v>
      </c>
      <c r="M22" s="119">
        <f t="shared" si="3"/>
        <v>38230.03235355022</v>
      </c>
      <c r="N22" s="235">
        <f t="shared" si="3"/>
        <v>40384.90654471146</v>
      </c>
    </row>
    <row r="23" spans="2:14" s="88" customFormat="1" ht="12.75">
      <c r="B23" s="86"/>
      <c r="C23" s="87"/>
      <c r="D23" s="87"/>
      <c r="E23" s="64"/>
      <c r="F23" s="64"/>
      <c r="G23" s="64"/>
      <c r="H23" s="64"/>
      <c r="I23" s="64"/>
      <c r="J23" s="64"/>
      <c r="K23" s="64"/>
      <c r="L23" s="64"/>
      <c r="M23" s="64"/>
      <c r="N23" s="65"/>
    </row>
    <row r="24" spans="2:14" ht="12.75">
      <c r="B24" s="306" t="s">
        <v>165</v>
      </c>
      <c r="C24" s="307"/>
      <c r="D24" s="307"/>
      <c r="E24" s="308"/>
      <c r="F24" s="308"/>
      <c r="G24" s="308"/>
      <c r="H24" s="308"/>
      <c r="I24" s="308"/>
      <c r="J24" s="308"/>
      <c r="K24" s="308"/>
      <c r="L24" s="308"/>
      <c r="M24" s="308"/>
      <c r="N24" s="309"/>
    </row>
    <row r="25" spans="2:14" ht="12" customHeight="1">
      <c r="B25" s="44" t="s">
        <v>203</v>
      </c>
      <c r="C25" s="45"/>
      <c r="D25" s="45"/>
      <c r="E25" s="2">
        <v>320</v>
      </c>
      <c r="F25" s="2"/>
      <c r="G25" s="2"/>
      <c r="H25" s="2"/>
      <c r="I25" s="2"/>
      <c r="J25" s="2"/>
      <c r="K25" s="2"/>
      <c r="L25" s="2"/>
      <c r="M25" s="2"/>
      <c r="N25" s="7"/>
    </row>
    <row r="26" spans="2:14" ht="12" customHeight="1">
      <c r="B26" s="44" t="s">
        <v>234</v>
      </c>
      <c r="C26" s="45"/>
      <c r="D26" s="45"/>
      <c r="E26" s="2">
        <v>211</v>
      </c>
      <c r="F26" s="2">
        <v>234</v>
      </c>
      <c r="G26" s="2">
        <v>245</v>
      </c>
      <c r="H26" s="2">
        <v>220</v>
      </c>
      <c r="I26" s="2">
        <v>285</v>
      </c>
      <c r="J26" s="2">
        <v>270</v>
      </c>
      <c r="K26" s="2">
        <v>295</v>
      </c>
      <c r="L26" s="2">
        <v>305</v>
      </c>
      <c r="M26" s="2">
        <v>305</v>
      </c>
      <c r="N26" s="7">
        <v>315</v>
      </c>
    </row>
    <row r="27" spans="2:14" ht="12" customHeight="1">
      <c r="B27" s="44" t="s">
        <v>235</v>
      </c>
      <c r="C27" s="45"/>
      <c r="D27" s="45"/>
      <c r="E27" s="2">
        <v>-139</v>
      </c>
      <c r="F27" s="2">
        <v>-145</v>
      </c>
      <c r="G27" s="2">
        <v>-160</v>
      </c>
      <c r="H27" s="2">
        <v>-172</v>
      </c>
      <c r="I27" s="2">
        <v>-305</v>
      </c>
      <c r="J27" s="2">
        <v>-182</v>
      </c>
      <c r="K27" s="2">
        <v>-211</v>
      </c>
      <c r="L27" s="2">
        <v>-223</v>
      </c>
      <c r="M27" s="2">
        <v>-225</v>
      </c>
      <c r="N27" s="7">
        <v>-222</v>
      </c>
    </row>
    <row r="28" spans="2:14" ht="12" customHeight="1">
      <c r="B28" s="44"/>
      <c r="C28" s="45"/>
      <c r="D28" s="45"/>
      <c r="E28" s="2"/>
      <c r="F28" s="2"/>
      <c r="G28" s="2"/>
      <c r="H28" s="2"/>
      <c r="I28" s="2"/>
      <c r="J28" s="2"/>
      <c r="K28" s="2"/>
      <c r="L28" s="2"/>
      <c r="M28" s="2"/>
      <c r="N28" s="7"/>
    </row>
    <row r="29" spans="2:14" ht="12.75">
      <c r="B29" s="306" t="s">
        <v>166</v>
      </c>
      <c r="C29" s="307"/>
      <c r="D29" s="307"/>
      <c r="E29" s="308"/>
      <c r="F29" s="308"/>
      <c r="G29" s="308"/>
      <c r="H29" s="308"/>
      <c r="I29" s="308"/>
      <c r="J29" s="308"/>
      <c r="K29" s="308"/>
      <c r="L29" s="308"/>
      <c r="M29" s="308"/>
      <c r="N29" s="309"/>
    </row>
    <row r="30" spans="2:14" ht="11.25" customHeight="1">
      <c r="B30" s="44" t="s">
        <v>209</v>
      </c>
      <c r="C30" s="45"/>
      <c r="D30" s="45"/>
      <c r="E30" s="2">
        <v>8389</v>
      </c>
      <c r="F30" s="2"/>
      <c r="G30" s="2"/>
      <c r="H30" s="2"/>
      <c r="I30" s="2"/>
      <c r="J30" s="2"/>
      <c r="K30" s="2"/>
      <c r="L30" s="2"/>
      <c r="M30" s="2"/>
      <c r="N30" s="7"/>
    </row>
    <row r="31" spans="2:14" ht="11.25" customHeight="1">
      <c r="B31" s="44" t="s">
        <v>236</v>
      </c>
      <c r="C31" s="45"/>
      <c r="D31" s="45"/>
      <c r="E31" s="2">
        <v>1288</v>
      </c>
      <c r="F31" s="2">
        <v>400</v>
      </c>
      <c r="G31" s="2">
        <v>640</v>
      </c>
      <c r="H31" s="2">
        <v>1370</v>
      </c>
      <c r="I31" s="2">
        <v>840</v>
      </c>
      <c r="J31" s="2">
        <v>760</v>
      </c>
      <c r="K31" s="2">
        <v>1095</v>
      </c>
      <c r="L31" s="2">
        <v>1250</v>
      </c>
      <c r="M31" s="2">
        <v>615</v>
      </c>
      <c r="N31" s="7">
        <v>1420</v>
      </c>
    </row>
    <row r="32" spans="2:14" ht="11.25" customHeight="1">
      <c r="B32" s="44" t="s">
        <v>237</v>
      </c>
      <c r="C32" s="45"/>
      <c r="D32" s="45"/>
      <c r="E32" s="55">
        <v>-119</v>
      </c>
      <c r="F32" s="55">
        <v>-28</v>
      </c>
      <c r="G32" s="55">
        <v>-18</v>
      </c>
      <c r="H32" s="55">
        <v>-155</v>
      </c>
      <c r="I32" s="55">
        <v>-80</v>
      </c>
      <c r="J32" s="55">
        <v>-44</v>
      </c>
      <c r="K32" s="55">
        <v>-185</v>
      </c>
      <c r="L32" s="55">
        <v>-110</v>
      </c>
      <c r="M32" s="55">
        <v>-60</v>
      </c>
      <c r="N32" s="56">
        <v>-180</v>
      </c>
    </row>
    <row r="33" spans="2:14" ht="12.75">
      <c r="B33" s="86" t="s">
        <v>247</v>
      </c>
      <c r="C33" s="45"/>
      <c r="D33" s="45"/>
      <c r="E33" s="64">
        <f>SUM(E25:E32)</f>
        <v>9950</v>
      </c>
      <c r="F33" s="64">
        <f>E35+SUM(F26:F32)</f>
        <v>10411</v>
      </c>
      <c r="G33" s="64">
        <f aca="true" t="shared" si="4" ref="G33:N33">F35+SUM(G26:G32)</f>
        <v>10091.3</v>
      </c>
      <c r="H33" s="64">
        <f t="shared" si="4"/>
        <v>10371.619999999999</v>
      </c>
      <c r="I33" s="64">
        <f t="shared" si="4"/>
        <v>10121.258</v>
      </c>
      <c r="J33" s="64">
        <f t="shared" si="4"/>
        <v>9930.8822</v>
      </c>
      <c r="K33" s="64">
        <f t="shared" si="4"/>
        <v>9960.69398</v>
      </c>
      <c r="L33" s="64">
        <f t="shared" si="4"/>
        <v>10216.524582</v>
      </c>
      <c r="M33" s="64">
        <f t="shared" si="4"/>
        <v>9874.3221238</v>
      </c>
      <c r="N33" s="65">
        <f t="shared" si="4"/>
        <v>10237.389911420001</v>
      </c>
    </row>
    <row r="34" spans="2:14" ht="12.75">
      <c r="B34" s="86" t="s">
        <v>14</v>
      </c>
      <c r="C34" s="45"/>
      <c r="D34" s="45"/>
      <c r="E34" s="123"/>
      <c r="F34" s="159">
        <f>(E35*-0.1)+(F26+F31)*-0.1/2</f>
        <v>-1026.7</v>
      </c>
      <c r="G34" s="159">
        <f aca="true" t="shared" si="5" ref="G34:N34">(F35*-0.1)+(G26+G31)*-0.1/2</f>
        <v>-982.68</v>
      </c>
      <c r="H34" s="159">
        <f t="shared" si="5"/>
        <v>-990.362</v>
      </c>
      <c r="I34" s="159">
        <f t="shared" si="5"/>
        <v>-994.3758</v>
      </c>
      <c r="J34" s="159">
        <f t="shared" si="5"/>
        <v>-964.18822</v>
      </c>
      <c r="K34" s="159">
        <f t="shared" si="5"/>
        <v>-966.169398</v>
      </c>
      <c r="L34" s="159">
        <f t="shared" si="5"/>
        <v>-977.2024582</v>
      </c>
      <c r="M34" s="159">
        <f t="shared" si="5"/>
        <v>-969.9322123800001</v>
      </c>
      <c r="N34" s="162">
        <f t="shared" si="5"/>
        <v>-977.1889911420002</v>
      </c>
    </row>
    <row r="35" spans="2:14" ht="12.75">
      <c r="B35" s="86" t="s">
        <v>257</v>
      </c>
      <c r="C35" s="45"/>
      <c r="D35" s="45"/>
      <c r="E35" s="64">
        <f>SUM(E33)</f>
        <v>9950</v>
      </c>
      <c r="F35" s="64">
        <f>SUM(F33:F34)</f>
        <v>9384.3</v>
      </c>
      <c r="G35" s="64">
        <f aca="true" t="shared" si="6" ref="G35:N35">SUM(G33:G34)</f>
        <v>9108.619999999999</v>
      </c>
      <c r="H35" s="64">
        <f t="shared" si="6"/>
        <v>9381.258</v>
      </c>
      <c r="I35" s="64">
        <f t="shared" si="6"/>
        <v>9126.8822</v>
      </c>
      <c r="J35" s="64">
        <f t="shared" si="6"/>
        <v>8966.69398</v>
      </c>
      <c r="K35" s="64">
        <f t="shared" si="6"/>
        <v>8994.524582</v>
      </c>
      <c r="L35" s="64">
        <f t="shared" si="6"/>
        <v>9239.3221238</v>
      </c>
      <c r="M35" s="64">
        <f t="shared" si="6"/>
        <v>8904.389911420001</v>
      </c>
      <c r="N35" s="65">
        <f t="shared" si="6"/>
        <v>9260.200920278001</v>
      </c>
    </row>
    <row r="36" spans="2:14" ht="13.5" thickBot="1">
      <c r="B36" s="107"/>
      <c r="C36" s="109"/>
      <c r="D36" s="109"/>
      <c r="E36" s="75"/>
      <c r="F36" s="75"/>
      <c r="G36" s="75"/>
      <c r="H36" s="75"/>
      <c r="I36" s="75"/>
      <c r="J36" s="75"/>
      <c r="K36" s="75"/>
      <c r="L36" s="75"/>
      <c r="M36" s="75"/>
      <c r="N36" s="76"/>
    </row>
    <row r="37" spans="2:14" ht="12.75">
      <c r="B37" s="44"/>
      <c r="C37" s="45"/>
      <c r="D37" s="45"/>
      <c r="E37" s="2"/>
      <c r="F37" s="2"/>
      <c r="G37" s="2"/>
      <c r="H37" s="2"/>
      <c r="I37" s="2"/>
      <c r="J37" s="2"/>
      <c r="K37" s="2"/>
      <c r="L37" s="2"/>
      <c r="M37" s="2"/>
      <c r="N37" s="193"/>
    </row>
    <row r="38" spans="2:14" ht="12.75">
      <c r="B38" s="306" t="s">
        <v>168</v>
      </c>
      <c r="C38" s="307"/>
      <c r="D38" s="307"/>
      <c r="E38" s="308"/>
      <c r="F38" s="308"/>
      <c r="G38" s="308"/>
      <c r="H38" s="308"/>
      <c r="I38" s="308"/>
      <c r="J38" s="308"/>
      <c r="K38" s="308"/>
      <c r="L38" s="308"/>
      <c r="M38" s="308"/>
      <c r="N38" s="309"/>
    </row>
    <row r="39" spans="2:14" ht="12.75">
      <c r="B39" s="44" t="s">
        <v>238</v>
      </c>
      <c r="C39" s="45"/>
      <c r="D39" s="45"/>
      <c r="E39" s="2">
        <v>860</v>
      </c>
      <c r="F39" s="2"/>
      <c r="G39" s="2"/>
      <c r="H39" s="2"/>
      <c r="I39" s="2"/>
      <c r="J39" s="2"/>
      <c r="K39" s="2"/>
      <c r="L39" s="2"/>
      <c r="M39" s="2"/>
      <c r="N39" s="7"/>
    </row>
    <row r="40" spans="2:14" ht="12.75">
      <c r="B40" s="44" t="s">
        <v>239</v>
      </c>
      <c r="C40" s="45"/>
      <c r="D40" s="45"/>
      <c r="E40" s="2">
        <v>20</v>
      </c>
      <c r="F40" s="2">
        <v>80</v>
      </c>
      <c r="G40" s="2">
        <v>90</v>
      </c>
      <c r="H40" s="2">
        <v>500</v>
      </c>
      <c r="I40" s="2">
        <v>100</v>
      </c>
      <c r="J40" s="2">
        <v>100</v>
      </c>
      <c r="K40" s="2">
        <v>100</v>
      </c>
      <c r="L40" s="2">
        <v>650</v>
      </c>
      <c r="M40" s="2">
        <v>100</v>
      </c>
      <c r="N40" s="7">
        <v>100</v>
      </c>
    </row>
    <row r="41" spans="2:14" ht="12.75">
      <c r="B41" s="44" t="s">
        <v>240</v>
      </c>
      <c r="C41" s="45"/>
      <c r="D41" s="45"/>
      <c r="E41" s="55"/>
      <c r="F41" s="55"/>
      <c r="G41" s="55">
        <v>-5</v>
      </c>
      <c r="H41" s="55">
        <v>-2</v>
      </c>
      <c r="I41" s="55">
        <v>-5</v>
      </c>
      <c r="J41" s="55">
        <v>-6</v>
      </c>
      <c r="K41" s="55">
        <v>-4</v>
      </c>
      <c r="L41" s="55">
        <v>-2</v>
      </c>
      <c r="M41" s="55">
        <v>-7</v>
      </c>
      <c r="N41" s="56">
        <v>-3</v>
      </c>
    </row>
    <row r="42" spans="2:14" ht="12.75">
      <c r="B42" s="44" t="s">
        <v>251</v>
      </c>
      <c r="C42" s="45"/>
      <c r="D42" s="45"/>
      <c r="E42" s="2">
        <f>SUM(E39:E41)</f>
        <v>880</v>
      </c>
      <c r="F42" s="2">
        <f>E44+SUM(F40:F41)</f>
        <v>960</v>
      </c>
      <c r="G42" s="2">
        <f aca="true" t="shared" si="7" ref="G42:N42">F44+SUM(G40:G41)</f>
        <v>930</v>
      </c>
      <c r="H42" s="2">
        <f t="shared" si="7"/>
        <v>1316.75</v>
      </c>
      <c r="I42" s="2">
        <f t="shared" si="7"/>
        <v>1278.15625</v>
      </c>
      <c r="J42" s="2">
        <f t="shared" si="7"/>
        <v>1218.01171875</v>
      </c>
      <c r="K42" s="2">
        <f t="shared" si="7"/>
        <v>1167.26025390625</v>
      </c>
      <c r="L42" s="2">
        <f t="shared" si="7"/>
        <v>1675.1027221679688</v>
      </c>
      <c r="M42" s="2">
        <f t="shared" si="7"/>
        <v>1599.0898818969727</v>
      </c>
      <c r="N42" s="7">
        <f t="shared" si="7"/>
        <v>1501.578646659851</v>
      </c>
    </row>
    <row r="43" spans="2:14" ht="12.75">
      <c r="B43" s="44" t="s">
        <v>14</v>
      </c>
      <c r="C43" s="45"/>
      <c r="D43" s="45"/>
      <c r="E43" s="55"/>
      <c r="F43" s="55">
        <f>(E44*-0.125)+(F40*-0.125/2)</f>
        <v>-115</v>
      </c>
      <c r="G43" s="55">
        <f aca="true" t="shared" si="8" ref="G43:N43">(F44*-0.125)+(G40*-0.125/2)</f>
        <v>-111.25</v>
      </c>
      <c r="H43" s="55">
        <f t="shared" si="8"/>
        <v>-133.59375</v>
      </c>
      <c r="I43" s="55">
        <f t="shared" si="8"/>
        <v>-154.14453125</v>
      </c>
      <c r="J43" s="55">
        <f t="shared" si="8"/>
        <v>-146.75146484375</v>
      </c>
      <c r="K43" s="55">
        <f t="shared" si="8"/>
        <v>-140.15753173828125</v>
      </c>
      <c r="L43" s="55">
        <f t="shared" si="8"/>
        <v>-169.0128402709961</v>
      </c>
      <c r="M43" s="55">
        <f t="shared" si="8"/>
        <v>-194.51123523712158</v>
      </c>
      <c r="N43" s="56">
        <f t="shared" si="8"/>
        <v>-181.82233083248138</v>
      </c>
    </row>
    <row r="44" spans="2:14" ht="13.5" thickBot="1">
      <c r="B44" s="107" t="s">
        <v>252</v>
      </c>
      <c r="C44" s="108"/>
      <c r="D44" s="108"/>
      <c r="E44" s="75">
        <f>SUM(E42:E43)</f>
        <v>880</v>
      </c>
      <c r="F44" s="75">
        <f aca="true" t="shared" si="9" ref="F44:N44">SUM(F42:F43)</f>
        <v>845</v>
      </c>
      <c r="G44" s="75">
        <f t="shared" si="9"/>
        <v>818.75</v>
      </c>
      <c r="H44" s="75">
        <f t="shared" si="9"/>
        <v>1183.15625</v>
      </c>
      <c r="I44" s="75">
        <f t="shared" si="9"/>
        <v>1124.01171875</v>
      </c>
      <c r="J44" s="75">
        <f t="shared" si="9"/>
        <v>1071.26025390625</v>
      </c>
      <c r="K44" s="75">
        <f t="shared" si="9"/>
        <v>1027.1027221679688</v>
      </c>
      <c r="L44" s="75">
        <f t="shared" si="9"/>
        <v>1506.0898818969727</v>
      </c>
      <c r="M44" s="75">
        <f t="shared" si="9"/>
        <v>1404.578646659851</v>
      </c>
      <c r="N44" s="76">
        <f t="shared" si="9"/>
        <v>1319.7563158273697</v>
      </c>
    </row>
    <row r="45" spans="2:14" ht="12.75">
      <c r="B45" s="44"/>
      <c r="C45" s="45"/>
      <c r="D45" s="45"/>
      <c r="E45" s="2"/>
      <c r="F45" s="2"/>
      <c r="G45" s="2"/>
      <c r="H45" s="2"/>
      <c r="I45" s="2"/>
      <c r="J45" s="2"/>
      <c r="K45" s="2"/>
      <c r="L45" s="2"/>
      <c r="M45" s="2"/>
      <c r="N45" s="7"/>
    </row>
    <row r="46" spans="2:14" ht="12.75">
      <c r="B46" s="44"/>
      <c r="C46" s="45"/>
      <c r="D46" s="45"/>
      <c r="E46" s="2"/>
      <c r="F46" s="2"/>
      <c r="G46" s="2"/>
      <c r="H46" s="2"/>
      <c r="I46" s="2"/>
      <c r="J46" s="2"/>
      <c r="K46" s="2"/>
      <c r="L46" s="2"/>
      <c r="M46" s="2"/>
      <c r="N46" s="7"/>
    </row>
    <row r="47" spans="2:14" ht="12.75">
      <c r="B47" s="306" t="s">
        <v>248</v>
      </c>
      <c r="C47" s="307"/>
      <c r="D47" s="307"/>
      <c r="E47" s="308"/>
      <c r="F47" s="308"/>
      <c r="G47" s="308"/>
      <c r="H47" s="308"/>
      <c r="I47" s="308"/>
      <c r="J47" s="308"/>
      <c r="K47" s="308"/>
      <c r="L47" s="308"/>
      <c r="M47" s="308"/>
      <c r="N47" s="309"/>
    </row>
    <row r="48" spans="2:14" ht="12.75">
      <c r="B48" s="306"/>
      <c r="C48" s="307"/>
      <c r="D48" s="307"/>
      <c r="E48" s="308"/>
      <c r="F48" s="308"/>
      <c r="G48" s="308"/>
      <c r="H48" s="308"/>
      <c r="I48" s="308"/>
      <c r="J48" s="308"/>
      <c r="K48" s="308"/>
      <c r="L48" s="308"/>
      <c r="M48" s="308"/>
      <c r="N48" s="309"/>
    </row>
    <row r="49" spans="2:14" ht="12.75">
      <c r="B49" s="195" t="s">
        <v>338</v>
      </c>
      <c r="C49" s="196"/>
      <c r="D49" s="196"/>
      <c r="E49" s="55"/>
      <c r="F49" s="55">
        <f>F13+F14+F18+F26+F27+F31+F32+F40+F41</f>
        <v>541</v>
      </c>
      <c r="G49" s="55">
        <f aca="true" t="shared" si="10" ref="G49:N49">G13+G14+G18+G26+G27+G31+G32+G40+G41</f>
        <v>221</v>
      </c>
      <c r="H49" s="55">
        <f t="shared" si="10"/>
        <v>3836</v>
      </c>
      <c r="I49" s="55">
        <f t="shared" si="10"/>
        <v>3385</v>
      </c>
      <c r="J49" s="55">
        <f t="shared" si="10"/>
        <v>6598</v>
      </c>
      <c r="K49" s="55">
        <f t="shared" si="10"/>
        <v>7790</v>
      </c>
      <c r="L49" s="55">
        <f t="shared" si="10"/>
        <v>5420</v>
      </c>
      <c r="M49" s="55">
        <f t="shared" si="10"/>
        <v>4153</v>
      </c>
      <c r="N49" s="56">
        <f t="shared" si="10"/>
        <v>4880</v>
      </c>
    </row>
    <row r="50" spans="2:14" ht="12.75">
      <c r="B50" s="44" t="s">
        <v>249</v>
      </c>
      <c r="C50" s="45"/>
      <c r="D50" s="45"/>
      <c r="E50" s="2">
        <f>E15+E20+E33+E44</f>
        <v>34182</v>
      </c>
      <c r="F50" s="2">
        <f>E53+F49</f>
        <v>34723</v>
      </c>
      <c r="G50" s="2">
        <f>F53+G49</f>
        <v>33332.25</v>
      </c>
      <c r="H50" s="2">
        <f aca="true" t="shared" si="11" ref="H50:N50">G53+H49</f>
        <v>35580.396250000005</v>
      </c>
      <c r="I50" s="2">
        <f t="shared" si="11"/>
        <v>39901.634812920776</v>
      </c>
      <c r="J50" s="2">
        <f t="shared" si="11"/>
        <v>44781.56259182702</v>
      </c>
      <c r="K50" s="2">
        <f t="shared" si="11"/>
        <v>50810.93481438562</v>
      </c>
      <c r="L50" s="2">
        <f t="shared" si="11"/>
        <v>58105.34443995723</v>
      </c>
      <c r="M50" s="2">
        <f t="shared" si="11"/>
        <v>60227.64439846059</v>
      </c>
      <c r="N50" s="7">
        <f t="shared" si="11"/>
        <v>63003.32832639346</v>
      </c>
    </row>
    <row r="51" spans="2:14" ht="12.75">
      <c r="B51" s="44" t="s">
        <v>14</v>
      </c>
      <c r="C51" s="45"/>
      <c r="D51" s="45"/>
      <c r="E51" s="2">
        <f aca="true" t="shared" si="12" ref="E51:N51">E21+E34+E43</f>
        <v>0</v>
      </c>
      <c r="F51" s="2">
        <f t="shared" si="12"/>
        <v>-1611.75</v>
      </c>
      <c r="G51" s="2">
        <f t="shared" si="12"/>
        <v>-1587.85375</v>
      </c>
      <c r="H51" s="2">
        <f t="shared" si="12"/>
        <v>-1654.9064062500001</v>
      </c>
      <c r="I51" s="2">
        <f t="shared" si="12"/>
        <v>-1718.0722210937502</v>
      </c>
      <c r="J51" s="2">
        <f t="shared" si="12"/>
        <v>-1760.6277774414061</v>
      </c>
      <c r="K51" s="2">
        <f t="shared" si="12"/>
        <v>-1889.7728200209963</v>
      </c>
      <c r="L51" s="2">
        <f t="shared" si="12"/>
        <v>-2030.7000414966428</v>
      </c>
      <c r="M51" s="2">
        <f t="shared" si="12"/>
        <v>-2104.3160720671276</v>
      </c>
      <c r="N51" s="7">
        <f t="shared" si="12"/>
        <v>-2154.137130813237</v>
      </c>
    </row>
    <row r="52" spans="2:14" ht="12.75">
      <c r="B52" s="44" t="s">
        <v>339</v>
      </c>
      <c r="C52" s="45"/>
      <c r="D52" s="45"/>
      <c r="E52" s="55"/>
      <c r="F52" s="55"/>
      <c r="G52" s="55"/>
      <c r="H52" s="55">
        <f>Ratios!G60*(G53/G65)</f>
        <v>2591.1449691707685</v>
      </c>
      <c r="I52" s="55"/>
      <c r="J52" s="55"/>
      <c r="K52" s="55">
        <f>Ratios!J60*(J53/J65)</f>
        <v>3764.182445592613</v>
      </c>
      <c r="L52" s="55"/>
      <c r="M52" s="55"/>
      <c r="N52" s="56">
        <f>Ratios!M60*(M53/M65)</f>
        <v>5157.595877720254</v>
      </c>
    </row>
    <row r="53" spans="2:14" ht="12.75">
      <c r="B53" s="86" t="s">
        <v>250</v>
      </c>
      <c r="C53" s="45"/>
      <c r="D53" s="45"/>
      <c r="E53" s="64">
        <f aca="true" t="shared" si="13" ref="E53:N53">SUM(E50:E52)</f>
        <v>34182</v>
      </c>
      <c r="F53" s="64">
        <f t="shared" si="13"/>
        <v>33111.25</v>
      </c>
      <c r="G53" s="64">
        <f t="shared" si="13"/>
        <v>31744.39625</v>
      </c>
      <c r="H53" s="64">
        <f t="shared" si="13"/>
        <v>36516.634812920776</v>
      </c>
      <c r="I53" s="64">
        <f t="shared" si="13"/>
        <v>38183.56259182702</v>
      </c>
      <c r="J53" s="64">
        <f t="shared" si="13"/>
        <v>43020.93481438562</v>
      </c>
      <c r="K53" s="64">
        <f t="shared" si="13"/>
        <v>52685.34443995723</v>
      </c>
      <c r="L53" s="64">
        <f t="shared" si="13"/>
        <v>56074.64439846059</v>
      </c>
      <c r="M53" s="64">
        <f t="shared" si="13"/>
        <v>58123.32832639346</v>
      </c>
      <c r="N53" s="65">
        <f t="shared" si="13"/>
        <v>66006.78707330048</v>
      </c>
    </row>
    <row r="54" spans="2:14" ht="12.75">
      <c r="B54" s="86"/>
      <c r="C54" s="45"/>
      <c r="D54" s="45"/>
      <c r="E54" s="64"/>
      <c r="F54" s="64"/>
      <c r="G54" s="64"/>
      <c r="H54" s="64"/>
      <c r="I54" s="64"/>
      <c r="J54" s="64"/>
      <c r="K54" s="64"/>
      <c r="L54" s="64"/>
      <c r="M54" s="64"/>
      <c r="N54" s="65"/>
    </row>
    <row r="55" spans="2:14" ht="13.5" thickBot="1">
      <c r="B55" s="107"/>
      <c r="C55" s="109"/>
      <c r="D55" s="109"/>
      <c r="E55" s="75"/>
      <c r="F55" s="75"/>
      <c r="G55" s="75"/>
      <c r="H55" s="75"/>
      <c r="I55" s="75"/>
      <c r="J55" s="75"/>
      <c r="K55" s="75"/>
      <c r="L55" s="75"/>
      <c r="M55" s="75"/>
      <c r="N55" s="76"/>
    </row>
    <row r="56" spans="2:14" ht="12.75">
      <c r="B56" s="44"/>
      <c r="C56" s="45"/>
      <c r="D56" s="45"/>
      <c r="E56" s="2"/>
      <c r="F56" s="2"/>
      <c r="G56" s="2"/>
      <c r="H56" s="2"/>
      <c r="I56" s="2"/>
      <c r="J56" s="2"/>
      <c r="K56" s="2"/>
      <c r="L56" s="2"/>
      <c r="M56" s="2"/>
      <c r="N56" s="7"/>
    </row>
    <row r="57" spans="2:14" ht="12.75">
      <c r="B57" s="306" t="s">
        <v>243</v>
      </c>
      <c r="C57" s="307"/>
      <c r="D57" s="307"/>
      <c r="E57" s="308"/>
      <c r="F57" s="308"/>
      <c r="G57" s="308"/>
      <c r="H57" s="308"/>
      <c r="I57" s="308"/>
      <c r="J57" s="308"/>
      <c r="K57" s="308"/>
      <c r="L57" s="308"/>
      <c r="M57" s="308"/>
      <c r="N57" s="309"/>
    </row>
    <row r="58" spans="2:14" ht="12.75">
      <c r="B58" s="44" t="s">
        <v>241</v>
      </c>
      <c r="C58" s="45"/>
      <c r="D58" s="45"/>
      <c r="E58" s="2">
        <v>183983</v>
      </c>
      <c r="F58" s="2"/>
      <c r="G58" s="2"/>
      <c r="H58" s="2"/>
      <c r="I58" s="2"/>
      <c r="J58" s="2"/>
      <c r="K58" s="2"/>
      <c r="L58" s="2"/>
      <c r="M58" s="2"/>
      <c r="N58" s="7"/>
    </row>
    <row r="59" spans="2:14" ht="12.75">
      <c r="B59" s="44" t="s">
        <v>242</v>
      </c>
      <c r="C59" s="45"/>
      <c r="D59" s="45"/>
      <c r="E59" s="55">
        <v>9691</v>
      </c>
      <c r="F59" s="55">
        <v>8994</v>
      </c>
      <c r="G59" s="55">
        <v>9498</v>
      </c>
      <c r="H59" s="55">
        <v>9957</v>
      </c>
      <c r="I59" s="55">
        <v>6788</v>
      </c>
      <c r="J59" s="55">
        <v>7167</v>
      </c>
      <c r="K59" s="55">
        <v>7599</v>
      </c>
      <c r="L59" s="55">
        <v>7986</v>
      </c>
      <c r="M59" s="55">
        <v>8426</v>
      </c>
      <c r="N59" s="56">
        <v>8571</v>
      </c>
    </row>
    <row r="60" spans="2:14" ht="12.75">
      <c r="B60" s="44" t="s">
        <v>253</v>
      </c>
      <c r="C60" s="45"/>
      <c r="D60" s="45"/>
      <c r="E60" s="2">
        <f>SUM(E58:E59)</f>
        <v>193674</v>
      </c>
      <c r="F60" s="2">
        <f>E60+F59</f>
        <v>202668</v>
      </c>
      <c r="G60" s="2">
        <f aca="true" t="shared" si="14" ref="G60:N60">F63+G59</f>
        <v>206419.041</v>
      </c>
      <c r="H60" s="2">
        <f t="shared" si="14"/>
        <v>210527.609811</v>
      </c>
      <c r="I60" s="2">
        <f t="shared" si="14"/>
        <v>227726.3161493102</v>
      </c>
      <c r="J60" s="2">
        <f t="shared" si="14"/>
        <v>228387.6789809802</v>
      </c>
      <c r="K60" s="2">
        <f t="shared" si="14"/>
        <v>229467.3577905318</v>
      </c>
      <c r="L60" s="2">
        <f t="shared" si="14"/>
        <v>250321.7009872704</v>
      </c>
      <c r="M60" s="2">
        <f t="shared" si="14"/>
        <v>251604.16865863954</v>
      </c>
      <c r="N60" s="7">
        <f t="shared" si="14"/>
        <v>253000.824767539</v>
      </c>
    </row>
    <row r="61" spans="2:14" ht="12.75">
      <c r="B61" s="44" t="s">
        <v>14</v>
      </c>
      <c r="C61" s="45"/>
      <c r="D61" s="45"/>
      <c r="E61" s="2"/>
      <c r="F61" s="2">
        <f>(E63*-0.029)+(F59*-0.029/2)</f>
        <v>-5746.959000000001</v>
      </c>
      <c r="G61" s="2">
        <f aca="true" t="shared" si="15" ref="G61:N61">(F63*-0.029)+(G59*-0.029/2)</f>
        <v>-5848.431189000001</v>
      </c>
      <c r="H61" s="2">
        <f t="shared" si="15"/>
        <v>-5960.924184519001</v>
      </c>
      <c r="I61" s="2">
        <f t="shared" si="15"/>
        <v>-6505.637168329997</v>
      </c>
      <c r="J61" s="2">
        <f t="shared" si="15"/>
        <v>-6519.321190448427</v>
      </c>
      <c r="K61" s="2">
        <f t="shared" si="15"/>
        <v>-6544.367875925422</v>
      </c>
      <c r="L61" s="2">
        <f t="shared" si="15"/>
        <v>-7143.532328630841</v>
      </c>
      <c r="M61" s="2">
        <f t="shared" si="15"/>
        <v>-7174.343891100547</v>
      </c>
      <c r="N61" s="7">
        <f t="shared" si="15"/>
        <v>-7212.7444182586305</v>
      </c>
    </row>
    <row r="62" spans="2:14" ht="12.75">
      <c r="B62" s="44" t="s">
        <v>339</v>
      </c>
      <c r="C62" s="45"/>
      <c r="D62" s="45"/>
      <c r="E62" s="55"/>
      <c r="F62" s="55"/>
      <c r="G62" s="55"/>
      <c r="H62" s="55">
        <f>Ratios!G60*(G63/G65)</f>
        <v>16371.630522829233</v>
      </c>
      <c r="I62" s="55"/>
      <c r="J62" s="55"/>
      <c r="K62" s="55">
        <f>Ratios!J60*(J63/J65)</f>
        <v>19412.711072664024</v>
      </c>
      <c r="L62" s="55"/>
      <c r="M62" s="55"/>
      <c r="N62" s="56">
        <f>Ratios!M60*(M63/M65)</f>
        <v>21689.57444304648</v>
      </c>
    </row>
    <row r="63" spans="2:14" ht="12.75">
      <c r="B63" s="44" t="s">
        <v>254</v>
      </c>
      <c r="C63" s="87"/>
      <c r="D63" s="87"/>
      <c r="E63" s="64">
        <f aca="true" t="shared" si="16" ref="E63:N63">SUM(E60:E62)</f>
        <v>193674</v>
      </c>
      <c r="F63" s="64">
        <f t="shared" si="16"/>
        <v>196921.041</v>
      </c>
      <c r="G63" s="64">
        <f t="shared" si="16"/>
        <v>200570.609811</v>
      </c>
      <c r="H63" s="64">
        <f t="shared" si="16"/>
        <v>220938.3161493102</v>
      </c>
      <c r="I63" s="64">
        <f t="shared" si="16"/>
        <v>221220.6789809802</v>
      </c>
      <c r="J63" s="64">
        <f t="shared" si="16"/>
        <v>221868.3577905318</v>
      </c>
      <c r="K63" s="64">
        <f t="shared" si="16"/>
        <v>242335.7009872704</v>
      </c>
      <c r="L63" s="64">
        <f t="shared" si="16"/>
        <v>243178.16865863954</v>
      </c>
      <c r="M63" s="64">
        <f t="shared" si="16"/>
        <v>244429.824767539</v>
      </c>
      <c r="N63" s="65">
        <f t="shared" si="16"/>
        <v>267477.65479232685</v>
      </c>
    </row>
    <row r="64" spans="2:14" ht="12.75">
      <c r="B64" s="44"/>
      <c r="C64" s="87"/>
      <c r="D64" s="87"/>
      <c r="E64" s="64"/>
      <c r="F64" s="64"/>
      <c r="G64" s="64"/>
      <c r="H64" s="64"/>
      <c r="I64" s="64"/>
      <c r="J64" s="64"/>
      <c r="K64" s="64"/>
      <c r="L64" s="64"/>
      <c r="M64" s="64"/>
      <c r="N64" s="65"/>
    </row>
    <row r="65" spans="2:14" ht="12.75">
      <c r="B65" s="44" t="s">
        <v>75</v>
      </c>
      <c r="C65" s="45"/>
      <c r="D65" s="45"/>
      <c r="E65" s="2">
        <f>E53+E63</f>
        <v>227856</v>
      </c>
      <c r="F65" s="2">
        <f aca="true" t="shared" si="17" ref="F65:N65">F53+F63</f>
        <v>230032.291</v>
      </c>
      <c r="G65" s="2">
        <f t="shared" si="17"/>
        <v>232315.006061</v>
      </c>
      <c r="H65" s="2">
        <f t="shared" si="17"/>
        <v>257454.95096223097</v>
      </c>
      <c r="I65" s="2">
        <f t="shared" si="17"/>
        <v>259404.24157280725</v>
      </c>
      <c r="J65" s="2">
        <f t="shared" si="17"/>
        <v>264889.2926049174</v>
      </c>
      <c r="K65" s="2">
        <f t="shared" si="17"/>
        <v>295021.0454272276</v>
      </c>
      <c r="L65" s="2">
        <f t="shared" si="17"/>
        <v>299252.8130571001</v>
      </c>
      <c r="M65" s="2">
        <f t="shared" si="17"/>
        <v>302553.15309393243</v>
      </c>
      <c r="N65" s="7">
        <f t="shared" si="17"/>
        <v>333484.4418656273</v>
      </c>
    </row>
    <row r="66" spans="2:14" ht="12.75">
      <c r="B66" s="44"/>
      <c r="C66" s="45"/>
      <c r="D66" s="45"/>
      <c r="E66" s="2"/>
      <c r="F66" s="2"/>
      <c r="G66" s="2"/>
      <c r="H66" s="2"/>
      <c r="I66" s="2"/>
      <c r="J66" s="2"/>
      <c r="K66" s="2"/>
      <c r="L66" s="2"/>
      <c r="M66" s="2"/>
      <c r="N66" s="7"/>
    </row>
    <row r="67" spans="2:14" ht="12.75">
      <c r="B67" s="86" t="s">
        <v>255</v>
      </c>
      <c r="C67" s="45"/>
      <c r="D67" s="45"/>
      <c r="E67" s="64">
        <v>-7200</v>
      </c>
      <c r="F67" s="64">
        <f>F51+F61</f>
        <v>-7358.709000000001</v>
      </c>
      <c r="G67" s="64">
        <f aca="true" t="shared" si="18" ref="G67:N67">G51+G61</f>
        <v>-7436.284939000001</v>
      </c>
      <c r="H67" s="64">
        <f t="shared" si="18"/>
        <v>-7615.830590769001</v>
      </c>
      <c r="I67" s="64">
        <f t="shared" si="18"/>
        <v>-8223.709389423748</v>
      </c>
      <c r="J67" s="64">
        <f t="shared" si="18"/>
        <v>-8279.948967889834</v>
      </c>
      <c r="K67" s="64">
        <f t="shared" si="18"/>
        <v>-8434.140695946418</v>
      </c>
      <c r="L67" s="64">
        <f t="shared" si="18"/>
        <v>-9174.232370127484</v>
      </c>
      <c r="M67" s="64">
        <f t="shared" si="18"/>
        <v>-9278.659963167675</v>
      </c>
      <c r="N67" s="65">
        <f t="shared" si="18"/>
        <v>-9366.881549071868</v>
      </c>
    </row>
    <row r="68" spans="2:14" ht="12.75">
      <c r="B68" s="44" t="s">
        <v>316</v>
      </c>
      <c r="C68" s="45"/>
      <c r="D68" s="45"/>
      <c r="E68" s="2"/>
      <c r="F68" s="2">
        <f>((F18*0.025)+(F26+F31)*0.1+(F40*0.125)+(F59*0.29)*-1)</f>
        <v>-2512.3599999999997</v>
      </c>
      <c r="G68" s="2">
        <f aca="true" t="shared" si="19" ref="G68:N68">((G18*0.025)+(G26+G31)*0.1+(G40*0.125)+(G59*0.29)*-1)</f>
        <v>-2605.9199999999996</v>
      </c>
      <c r="H68" s="2">
        <f t="shared" si="19"/>
        <v>-2616.0299999999997</v>
      </c>
      <c r="I68" s="2">
        <f t="shared" si="19"/>
        <v>-1789.7699999999998</v>
      </c>
      <c r="J68" s="2">
        <f t="shared" si="19"/>
        <v>-1827.9299999999998</v>
      </c>
      <c r="K68" s="2">
        <f t="shared" si="19"/>
        <v>-1887.21</v>
      </c>
      <c r="L68" s="2">
        <f t="shared" si="19"/>
        <v>-2002.94</v>
      </c>
      <c r="M68" s="2">
        <f t="shared" si="19"/>
        <v>-2260.29</v>
      </c>
      <c r="N68" s="7">
        <f t="shared" si="19"/>
        <v>-2220.8399999999997</v>
      </c>
    </row>
    <row r="69" spans="2:14" ht="13.5" thickBot="1">
      <c r="B69" s="3"/>
      <c r="C69" s="4"/>
      <c r="D69" s="4"/>
      <c r="E69" s="5"/>
      <c r="F69" s="5"/>
      <c r="G69" s="5"/>
      <c r="H69" s="5"/>
      <c r="I69" s="5"/>
      <c r="J69" s="5"/>
      <c r="K69" s="5"/>
      <c r="L69" s="5"/>
      <c r="M69" s="5"/>
      <c r="N69" s="68"/>
    </row>
    <row r="71" ht="12.75">
      <c r="F71" s="164"/>
    </row>
    <row r="73" ht="12.75">
      <c r="F73" s="164"/>
    </row>
  </sheetData>
  <mergeCells count="3">
    <mergeCell ref="B2:N2"/>
    <mergeCell ref="B3:N3"/>
    <mergeCell ref="B4:N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Footer>&amp;CPage &amp;P of &amp;N</oddFooter>
  </headerFooter>
  <rowBreaks count="1" manualBreakCount="1">
    <brk id="36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Local Govt &amp; Regional Devt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 Long Term Financial Plan -  Statements and Supporting Schedules</dc:title>
  <dc:subject/>
  <dc:creator>--A--</dc:creator>
  <cp:keywords/>
  <dc:description/>
  <cp:lastModifiedBy>Crystal Bell</cp:lastModifiedBy>
  <cp:lastPrinted>2011-04-29T02:22:24Z</cp:lastPrinted>
  <dcterms:created xsi:type="dcterms:W3CDTF">2010-12-02T07:09:56Z</dcterms:created>
  <dcterms:modified xsi:type="dcterms:W3CDTF">2011-05-04T08:00:02Z</dcterms:modified>
  <cp:category/>
  <cp:version/>
  <cp:contentType/>
  <cp:contentStatus/>
</cp:coreProperties>
</file>